
<file path=[Content_Types].xml><?xml version="1.0" encoding="utf-8"?>
<Types xmlns="http://schemas.openxmlformats.org/package/2006/content-type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530"/>
  <workbookPr/>
  <mc:AlternateContent xmlns:mc="http://schemas.openxmlformats.org/markup-compatibility/2006">
    <mc:Choice Requires="x15">
      <x15ac:absPath xmlns:x15ac="http://schemas.microsoft.com/office/spreadsheetml/2010/11/ac" url="\\Server\Экономисты\Отчетность\2024 ЕИАС\OPEN.INFO.QUARTER.EIAS\Excel\ВТК\"/>
    </mc:Choice>
  </mc:AlternateContent>
  <xr:revisionPtr revIDLastSave="0" documentId="13_ncr:1_{C4D2AC79-452F-41A0-A3C1-0A6862524909}" xr6:coauthVersionLast="46" xr6:coauthVersionMax="46" xr10:uidLastSave="{00000000-0000-0000-0000-000000000000}"/>
  <bookViews>
    <workbookView xWindow="-120" yWindow="-120" windowWidth="29040" windowHeight="15840" tabRatio="852" firstSheet="1" activeTab="3" xr2:uid="{00000000-000D-0000-FFFF-FFFF00000000}"/>
  </bookViews>
  <sheets>
    <sheet name="Инструкция" sheetId="1" r:id="rId1"/>
    <sheet name="Титульный" sheetId="2" r:id="rId2"/>
    <sheet name="Список территорий" sheetId="3" r:id="rId3"/>
    <sheet name="Дифференциация" sheetId="4" r:id="rId4"/>
    <sheet name="Перечень тарифов" sheetId="5" state="hidden" r:id="rId5"/>
    <sheet name="Дифференциация тариф показатель" sheetId="6" state="hidden" r:id="rId6"/>
    <sheet name="Общая информация об организации" sheetId="7" state="hidden" r:id="rId7"/>
    <sheet name="Общая информация по ВД" sheetId="8" state="hidden" r:id="rId8"/>
    <sheet name="Виды объектов" sheetId="9" state="hidden" r:id="rId9"/>
    <sheet name="Сведения по территориям" sheetId="10" state="hidden" r:id="rId10"/>
    <sheet name="ТС. Т-ТЭ | &gt;=25МВт" sheetId="11" state="hidden" r:id="rId11"/>
    <sheet name="ТС. Т-ТЭ | ТСО" sheetId="12" state="hidden" r:id="rId12"/>
    <sheet name="ТС. Т-ТЭ | предел" sheetId="13" state="hidden" r:id="rId13"/>
    <sheet name="ТС. Т-ТЭ | индикат" sheetId="14" state="hidden" r:id="rId14"/>
    <sheet name="ТС. Резерв мощности" sheetId="15" state="hidden" r:id="rId15"/>
    <sheet name="ТС. Т-ТН" sheetId="16" state="hidden" r:id="rId16"/>
    <sheet name="ТС. Т-передача ТЭ" sheetId="17" state="hidden" r:id="rId17"/>
    <sheet name="ТС. Т-передача ТН" sheetId="18" state="hidden" r:id="rId18"/>
    <sheet name="ТС. Т-гор.вода" sheetId="19" state="hidden" r:id="rId19"/>
    <sheet name="ТС. Т-подкл" sheetId="20" state="hidden" r:id="rId20"/>
    <sheet name="ХВС. Т-пит" sheetId="21" state="hidden" r:id="rId21"/>
    <sheet name="ХВС. Т-тех" sheetId="22" state="hidden" r:id="rId22"/>
    <sheet name="ХВС. Т-транс" sheetId="23" state="hidden" r:id="rId23"/>
    <sheet name="ХВС. Т-подвоз" sheetId="24" state="hidden" r:id="rId24"/>
    <sheet name="ТС. Т-подкл(инд)" sheetId="25" state="hidden" r:id="rId25"/>
    <sheet name="ХВС. Т-подкл" sheetId="26" state="hidden" r:id="rId26"/>
    <sheet name="ВО. Т-во" sheetId="27" state="hidden" r:id="rId27"/>
    <sheet name="ВО. Т-транс" sheetId="28" state="hidden" r:id="rId28"/>
    <sheet name="ВО. Т-подкл" sheetId="29" state="hidden" r:id="rId29"/>
    <sheet name="ГВС. Т-гор.вода" sheetId="30" state="hidden" r:id="rId30"/>
    <sheet name="ГВС. Т-транс" sheetId="31" state="hidden" r:id="rId31"/>
    <sheet name="ГВС. Т-подкл" sheetId="32" state="hidden" r:id="rId32"/>
    <sheet name="Показатели ФХД" sheetId="33" state="hidden" r:id="rId33"/>
    <sheet name="Показатели ФХД &gt;20%" sheetId="34" state="hidden" r:id="rId34"/>
    <sheet name="Показатели ОТЭП" sheetId="35" state="hidden" r:id="rId35"/>
    <sheet name="Стандарты качества" sheetId="36" state="hidden" r:id="rId36"/>
    <sheet name="ТКО. Показатели ФХД" sheetId="37" state="hidden" r:id="rId37"/>
    <sheet name="ТКО. Транс. Показатели ФХД" sheetId="38" state="hidden" r:id="rId38"/>
    <sheet name="Показатели КНЭ" sheetId="39" state="hidden" r:id="rId39"/>
    <sheet name="Ограничения" sheetId="40" r:id="rId40"/>
    <sheet name="ИП" sheetId="41" state="hidden" r:id="rId41"/>
    <sheet name="ИП. Детализация" sheetId="42" state="hidden" r:id="rId42"/>
    <sheet name="ИП. Финансовый план" sheetId="43" state="hidden" r:id="rId43"/>
    <sheet name="ИП. КНЭ" sheetId="44" state="hidden" r:id="rId44"/>
    <sheet name="ТП" sheetId="45" r:id="rId45"/>
    <sheet name="Договоры" sheetId="46" state="hidden" r:id="rId46"/>
    <sheet name="Порядок ТП" sheetId="47" state="hidden" r:id="rId47"/>
    <sheet name="Предложение" sheetId="48" state="hidden" r:id="rId48"/>
    <sheet name="Сведения о закупках" sheetId="49" state="hidden" r:id="rId49"/>
    <sheet name="Потребительские характеристики" sheetId="50" state="hidden" r:id="rId50"/>
    <sheet name="TEHSHEET" sheetId="51" state="hidden" r:id="rId51"/>
    <sheet name="Орган регулирования" sheetId="52" state="hidden" r:id="rId52"/>
    <sheet name="Перечень организаций" sheetId="53" state="hidden" r:id="rId53"/>
    <sheet name="Дела об установлении тарифов" sheetId="54" state="hidden" r:id="rId54"/>
    <sheet name="Дела об утверждении ПУЦ" sheetId="55" state="hidden" r:id="rId55"/>
    <sheet name="Привлечение к ответственности" sheetId="56" state="hidden" r:id="rId56"/>
    <sheet name="ЭД" sheetId="57" state="hidden" r:id="rId57"/>
    <sheet name="Сведения об изменении" sheetId="58" state="hidden" r:id="rId58"/>
    <sheet name="Комментарии" sheetId="59" r:id="rId59"/>
    <sheet name="Проверка" sheetId="60" state="hidden" r:id="rId60"/>
    <sheet name="et_union_hor" sheetId="61" state="hidden" r:id="rId61"/>
    <sheet name="DATA_FORMS" sheetId="62" state="hidden" r:id="rId62"/>
    <sheet name="DATA_NPA" sheetId="63" state="hidden" r:id="rId63"/>
    <sheet name="Т-ТЭ | потр" sheetId="64" state="hidden" r:id="rId64"/>
    <sheet name="modMainProcedures" sheetId="65" state="hidden" r:id="rId65"/>
    <sheet name="modB_FHD" sheetId="66" state="hidden" r:id="rId66"/>
    <sheet name="modB_FHD20" sheetId="67" state="hidden" r:id="rId67"/>
    <sheet name="modB_KNE" sheetId="68" state="hidden" r:id="rId68"/>
    <sheet name="modIP_MAIN" sheetId="69" state="hidden" r:id="rId69"/>
    <sheet name="modIP_QRE" sheetId="70" state="hidden" r:id="rId70"/>
    <sheet name="modIP_DETAILED" sheetId="71" state="hidden" r:id="rId71"/>
    <sheet name="et_union_vert" sheetId="72" state="hidden" r:id="rId72"/>
    <sheet name="Легенда" sheetId="73" state="hidden" r:id="rId73"/>
    <sheet name="modfrmListIP" sheetId="74" state="hidden" r:id="rId74"/>
    <sheet name="modfrmActivity" sheetId="75" state="hidden" r:id="rId75"/>
    <sheet name="REESTR_ORG" sheetId="76" state="hidden" r:id="rId76"/>
    <sheet name="REESTR_MO" sheetId="77" state="hidden" r:id="rId77"/>
    <sheet name="REESTR_IP" sheetId="78" state="hidden" r:id="rId78"/>
    <sheet name="REESTR_OBJ_INFR" sheetId="79" state="hidden" r:id="rId79"/>
    <sheet name="REESTR_DS" sheetId="80" state="hidden" r:id="rId80"/>
    <sheet name="REESTR_VT" sheetId="81" state="hidden" r:id="rId81"/>
    <sheet name="REESTR_VED" sheetId="82" state="hidden" r:id="rId82"/>
    <sheet name="REESTR_MO_FILTER" sheetId="83" state="hidden" r:id="rId83"/>
    <sheet name="REESTR_LINK" sheetId="84" state="hidden" r:id="rId84"/>
    <sheet name="modSheetMain" sheetId="85" state="hidden" r:id="rId85"/>
    <sheet name="modfrmReportMode" sheetId="86" state="hidden" r:id="rId86"/>
    <sheet name="modfrmReestrObj" sheetId="87" state="hidden" r:id="rId87"/>
    <sheet name="AllSheetsInThisWorkbook" sheetId="88" state="hidden" r:id="rId88"/>
    <sheet name="modInfo" sheetId="89" state="hidden" r:id="rId89"/>
  </sheets>
  <definedNames>
    <definedName name="_xlnm._FilterDatabase" localSheetId="59">Проверка!$B$4:$E$5</definedName>
    <definedName name="anscount">1</definedName>
    <definedName name="B_FHD_CHECK_INDEX_1">'Показатели ФХД'!$M$66</definedName>
    <definedName name="B_FHD_CHECK_INDEX_2">'Показатели ФХД'!$M$68</definedName>
    <definedName name="B_FHD_COSTS_INDEX_1">'Показатели ФХД'!$H$65:$K$65</definedName>
    <definedName name="B_FHD_COSTS_INDEX_2">'Показатели ФХД'!$H$67:$K$67</definedName>
    <definedName name="B_FHD_DATA_TOP80_ACTIVITY">'Показатели ФХД'!$H$81:$K$81</definedName>
    <definedName name="B_FHD_diff_1">'Показатели ФХД'!$I$25:$I$27</definedName>
    <definedName name="B_FHD_diff_5">'Показатели ФХД'!$J$25:$J$27</definedName>
    <definedName name="B_FHD_FLAG_DIFFERENTIATION">'Показатели ФХД'!$H$24:$K$24</definedName>
    <definedName name="B_FHD_FLAG_INDEX_1">'Показатели ФХД'!$H$66:$K$66</definedName>
    <definedName name="B_FHD_FLAG_INDEX_2">'Показатели ФХД'!$H$68:$K$68</definedName>
    <definedName name="B_FHD_TKO_DATA_TOP80_ACTIVITY">'ТКО. Показатели ФХД'!$H$43:$K$43</definedName>
    <definedName name="B_FHD_TKO_diff_1">'ТКО. Показатели ФХД'!$I$10:$I$12</definedName>
    <definedName name="B_FHD_TKO_diff_5">'ТКО. Показатели ФХД'!$J$10:$J$12</definedName>
    <definedName name="B_FHD_TKO_FLAG_DIFFERENTIATION">'ТКО. Показатели ФХД'!$H$9:$K$9</definedName>
    <definedName name="B_FHD_TKO_TRANS_DATA_TOP80_ACTIVITY">'ТКО. Транс. Показатели ФХД'!$H$35:$K$35</definedName>
    <definedName name="B_FHD_TKO_TRANS_diff_1">'ТКО. Транс. Показатели ФХД'!$I$10:$I$12</definedName>
    <definedName name="B_FHD_TKO_TRANS_diff_5">'ТКО. Транс. Показатели ФХД'!$J$10:$J$12</definedName>
    <definedName name="B_FHD_TKO_TRANS_FLAG_DIFFERENTIATION">'ТКО. Транс. Показатели ФХД'!$H$9:$K$9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&gt;20%'!$D$13:$S$32</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diff_5">'Показатели ФХД &gt;20%'!$H$23:$R$25</definedName>
    <definedName name="B_FHD20_FLAG_FHD">'Показатели ФХД &gt;20%'!$V$11:$V$32</definedName>
    <definedName name="B_FHD20_NUMBER_COLUMN_MARKER">'Показатели ФХД &gt;20%'!$D$8</definedName>
    <definedName name="B_FHD20_PART_COLUMN_MARKER">'Показатели ФХД &gt;20%'!$R$8</definedName>
    <definedName name="B_KNE_diff_1">'Показатели КНЭ'!$I$7:$J$9</definedName>
    <definedName name="B_KNE_diff_5">'Показатели КНЭ'!$K$7:$L$9</definedName>
    <definedName name="B_OTEP_diff_1">'Показатели ОТЭП'!$L$10:$L$12</definedName>
    <definedName name="B_OTEP_diff_5">'Показатели ОТЭП'!$N$10:$N$12</definedName>
    <definedName name="B_OTEP_FLAG_DIFFERENTIATION">'Показатели ОТЭП'!$L$9:$P$9</definedName>
    <definedName name="B_OTEP_HEAT_DATA_TOP80_ACTIVITY">'Показатели ОТЭП'!$L$15:$P$15</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ONLY_REG_ORG_P1">'Показатели ФХД'!$56:$57</definedName>
    <definedName name="BLOCK_POK_FHD_HEAT_ONLY_REG_ORG_P2">'Показатели ФХД'!$80:$131</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тарифов'!$79:$103</definedName>
    <definedName name="BLOCK_PT_HEAT">'Перечень тарифов'!$13:$77</definedName>
    <definedName name="BLOCK_PT_HEAT_NOT_R">'Перечень тарифов'!$63:$67</definedName>
    <definedName name="BLOCK_PT_HEAT_NOT_R_TMP">'Перечень тарифов'!$58:$62</definedName>
    <definedName name="BLOCK_PT_HEAT_PHEAT">'Перечень тарифов'!$23:$27</definedName>
    <definedName name="BLOCK_PT_HEAT_PHEAT_HIDDEN_FORMULAS">'Перечень тарифов'!$Z$23:$AQ$23</definedName>
    <definedName name="BLOCK_PT_HEAT_RHEAT">'Перечень тарифов'!$18:$22</definedName>
    <definedName name="BLOCK_PT_HEAT_RHEAT_HIDDEN_FORMULAS">'Перечень тарифов'!$Z$18:$AQ$18</definedName>
    <definedName name="BLOCK_PT_HOTVSNA">'Перечень тарифов'!$105:$119</definedName>
    <definedName name="BLOCK_PT_VOTV">'Перечень тарифов'!$121:$135</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ESCRIPTION_TERRITORY">REESTR_DS!$B$2</definedName>
    <definedName name="DIFFERENTIATION_AREA">Дифференциация!$I$12:$I$19</definedName>
    <definedName name="DIFFERENTIATION_AREA_ID">Дифференциация!$U$11:$U$20</definedName>
    <definedName name="DIFFERENTIATION_CheckC">Дифференциация!$D$12:$M$19</definedName>
    <definedName name="DIFFERENTIATION_fieldMarker">Дифференциация!$W$12:$W$19</definedName>
    <definedName name="DIFFERENTIATION_ID">TEHSHEET!$E$57</definedName>
    <definedName name="DIFFERENTIATION_ID_DIFF">Дифференциация!$O$12:$O$19</definedName>
    <definedName name="DIFFERENTIATION_SYSTEM">Дифференциация!$M$12:$M$19</definedName>
    <definedName name="DIFFERENTIATION_TARIFF_AREA_ID">'Перечень тарифов'!$Z$12:$Z$137</definedName>
    <definedName name="DIFFERENTIATION_TARIFF_VD_ID">'Перечень тарифов'!$AB$12:$AB$137</definedName>
    <definedName name="DIFFERENTIATION_TARIFF_VTAR_ID">'Перечень тарифов'!$AA$12:$AA$137</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Дифференциация!$Q$12:$Q$19</definedName>
    <definedName name="DIFFERENTIATION_UNMERGE_SYSTEM">Дифференциация!$R$12:$R$19</definedName>
    <definedName name="DIFFERENTIATION_UNMERGE_VD">Дифференциация!$P$12:$P$19</definedName>
    <definedName name="DIFFERENTIATION_VD">Дифференциация!$E$12:$E$19</definedName>
    <definedName name="DIFFERENTIATION_VD_ID">Дифференциация!$V$11:$V$20</definedName>
    <definedName name="ED_DATE">ЭД!$G$12:$G$13</definedName>
    <definedName name="ED_DATE_PARKING">ЭД!$I$5</definedName>
    <definedName name="ED_LINK">ЭД!$H$12:$H$13</definedName>
    <definedName name="EndDateList">TEHSHEET!$H$46:$H$53</definedName>
    <definedName name="et_B_FHD20_1">et_union_hor!$127:$135</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Ограничения!$F$36:$M$36</definedName>
    <definedName name="flag_Q_LIMIT_p4">Ограничения!$F$38:$M$38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PR_IP_NAME">ИП!$Q$11:$Q$13</definedName>
    <definedName name="IP_MAIN_PR_IP_NUMBER">ИП!$S$11:$S$13</definedName>
    <definedName name="IP_MAIN_PR_IP_TYPE">ИП!$R$11:$R$13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Предложение!$L$85</definedName>
    <definedName name="OFFER_METHOD">Предложение!$K$24:$K$83</definedName>
    <definedName name="OFFER_METHOD_FLAG">TEHSHEET!$L$6</definedName>
    <definedName name="OFFER_TARIFF_A_1">Предложение!$24:$26</definedName>
    <definedName name="OFFER_TARIFF_A_2">Предложение!$87:$89</definedName>
    <definedName name="OFFER_TARIFF_A_3">Предложение!$148:$150</definedName>
    <definedName name="OFFER_TARIFF_A_4">Предложение!$209:$211</definedName>
    <definedName name="OFFER_TARIFF_A_5">Предложение!$270:$272</definedName>
    <definedName name="OFFER_TARIFF_A_COLDVSNA_1">Предложение!$51:$53</definedName>
    <definedName name="OFFER_TARIFF_A_COLDVSNA_2">Предложение!$114:$116</definedName>
    <definedName name="OFFER_TARIFF_A_COLDVSNA_3">Предложение!$175:$177</definedName>
    <definedName name="OFFER_TARIFF_A_COLDVSNA_4">Предложение!$236:$238</definedName>
    <definedName name="OFFER_TARIFF_A_COLDVSNA_5">Предложение!$297:$299</definedName>
    <definedName name="OFFER_TARIFF_A_HOTVSNA_1">Предложение!$66:$68</definedName>
    <definedName name="OFFER_TARIFF_A_HOTVSNA_2">Предложение!$129:$131</definedName>
    <definedName name="OFFER_TARIFF_A_HOTVSNA_3">Предложение!$190:$192</definedName>
    <definedName name="OFFER_TARIFF_A_HOTVSNA_4">Предложение!$251:$253</definedName>
    <definedName name="OFFER_TARIFF_A_HOTVSNA_5">Предложение!$312:$314</definedName>
    <definedName name="OFFER_TARIFF_A_VOTV_1">Предложение!$75:$77</definedName>
    <definedName name="OFFER_TARIFF_A_VOTV_2">Предложение!$138:$140</definedName>
    <definedName name="OFFER_TARIFF_A_VOTV_3">Предложение!$199:$201</definedName>
    <definedName name="OFFER_TARIFF_A_VOTV_4">Предложение!$260:$262</definedName>
    <definedName name="OFFER_TARIFF_A_VOTV_5">Предложение!$321:$323</definedName>
    <definedName name="OFFER_TARIFF_B_1">Предложение!$27:$29</definedName>
    <definedName name="OFFER_TARIFF_B_2">Предложение!$90:$92</definedName>
    <definedName name="OFFER_TARIFF_B_3">Предложение!$151:$153</definedName>
    <definedName name="OFFER_TARIFF_B_4">Предложение!$212:$214</definedName>
    <definedName name="OFFER_TARIFF_B_5">Предложение!$273:$275</definedName>
    <definedName name="OFFER_TARIFF_B_COLDVSNA_1">Предложение!$54:$56</definedName>
    <definedName name="OFFER_TARIFF_B_COLDVSNA_2">Предложение!$117:$119</definedName>
    <definedName name="OFFER_TARIFF_B_COLDVSNA_3">Предложение!$178:$180</definedName>
    <definedName name="OFFER_TARIFF_B_COLDVSNA_4">Предложение!$239:$241</definedName>
    <definedName name="OFFER_TARIFF_B_COLDVSNA_5">Предложение!$300:$302</definedName>
    <definedName name="OFFER_TARIFF_B_HOTVSNA_1">Предложение!$69:$71</definedName>
    <definedName name="OFFER_TARIFF_B_HOTVSNA_2">Предложение!$132:$134</definedName>
    <definedName name="OFFER_TARIFF_B_HOTVSNA_3">Предложение!$193:$195</definedName>
    <definedName name="OFFER_TARIFF_B_HOTVSNA_4">Предложение!$254:$256</definedName>
    <definedName name="OFFER_TARIFF_B_HOTVSNA_5">Предложение!$315:$317</definedName>
    <definedName name="OFFER_TARIFF_B_VOTV_1">Предложение!$78:$80</definedName>
    <definedName name="OFFER_TARIFF_B_VOTV_2">Предложение!$141:$143</definedName>
    <definedName name="OFFER_TARIFF_B_VOTV_3">Предложение!$202:$204</definedName>
    <definedName name="OFFER_TARIFF_B_VOTV_4">Предложение!$263:$265</definedName>
    <definedName name="OFFER_TARIFF_B_VOTV_5">Предложение!$324:$326</definedName>
    <definedName name="OFFER_TARIFF_C_1">Предложение!$30:$32</definedName>
    <definedName name="OFFER_TARIFF_C_2">Предложение!$93:$95</definedName>
    <definedName name="OFFER_TARIFF_C_3">Предложение!$154:$156</definedName>
    <definedName name="OFFER_TARIFF_C_4">Предложение!$215:$217</definedName>
    <definedName name="OFFER_TARIFF_C_5">Предложение!$276:$278</definedName>
    <definedName name="OFFER_TARIFF_C_COLDVSNA_1">Предложение!$57:$59</definedName>
    <definedName name="OFFER_TARIFF_C_COLDVSNA_2">Предложение!$120:$122</definedName>
    <definedName name="OFFER_TARIFF_C_COLDVSNA_3">Предложение!$181:$183</definedName>
    <definedName name="OFFER_TARIFF_C_COLDVSNA_4">Предложение!$242:$244</definedName>
    <definedName name="OFFER_TARIFF_C_COLDVSNA_5">Предложение!$303:$305</definedName>
    <definedName name="OFFER_TARIFF_C_HOTVSNA_1">Предложение!$72:$74</definedName>
    <definedName name="OFFER_TARIFF_C_HOTVSNA_2">Предложение!$135:$137</definedName>
    <definedName name="OFFER_TARIFF_C_HOTVSNA_3">Предложение!$196:$198</definedName>
    <definedName name="OFFER_TARIFF_C_HOTVSNA_4">Предложение!$257:$259</definedName>
    <definedName name="OFFER_TARIFF_C_HOTVSNA_5">Предложение!$318:$320</definedName>
    <definedName name="OFFER_TARIFF_C_VOTV_1">Предложение!$81:$83</definedName>
    <definedName name="OFFER_TARIFF_C_VOTV_2">Предложение!$144:$146</definedName>
    <definedName name="OFFER_TARIFF_C_VOTV_3">Предложение!$205:$207</definedName>
    <definedName name="OFFER_TARIFF_C_VOTV_4">Предложение!$266:$268</definedName>
    <definedName name="OFFER_TARIFF_C_VOTV_5">Предложение!$327:$329</definedName>
    <definedName name="OFFER_TARIFF_D_1">Предложение!$33:$35</definedName>
    <definedName name="OFFER_TARIFF_D_2">Предложение!$96:$98</definedName>
    <definedName name="OFFER_TARIFF_D_3">Предложение!$157:$159</definedName>
    <definedName name="OFFER_TARIFF_D_4">Предложение!$218:$220</definedName>
    <definedName name="OFFER_TARIFF_D_5">Предложение!$279:$281</definedName>
    <definedName name="OFFER_TARIFF_D_COLDVSNA_1">Предложение!$60:$62</definedName>
    <definedName name="OFFER_TARIFF_D_COLDVSNA_2">Предложение!$123:$125</definedName>
    <definedName name="OFFER_TARIFF_D_COLDVSNA_3">Предложение!$184:$186</definedName>
    <definedName name="OFFER_TARIFF_D_COLDVSNA_4">Предложение!$245:$247</definedName>
    <definedName name="OFFER_TARIFF_D_COLDVSNA_5">Предложение!$306:$308</definedName>
    <definedName name="OFFER_TARIFF_E_COLDVSNA_1">Предложение!$63:$65</definedName>
    <definedName name="OFFER_TARIFF_E_COLDVSNA_2">Предложение!$126:$128</definedName>
    <definedName name="OFFER_TARIFF_E_COLDVSNA_3">Предложение!$187:$189</definedName>
    <definedName name="OFFER_TARIFF_E_COLDVSNA_4">Предложение!$248:$250</definedName>
    <definedName name="OFFER_TARIFF_E_COLDVSNA_5">Предложение!$309:$311</definedName>
    <definedName name="OFFER_TARIFF_E1_1">Предложение!$36:$38</definedName>
    <definedName name="OFFER_TARIFF_E1_2">Предложение!$99:$101</definedName>
    <definedName name="OFFER_TARIFF_E1_3">Предложение!$160:$162</definedName>
    <definedName name="OFFER_TARIFF_E1_4">Предложение!$221:$223</definedName>
    <definedName name="OFFER_TARIFF_E1_5">Предложение!$282:$284</definedName>
    <definedName name="OFFER_TARIFF_E2_1">Предложение!$39:$41</definedName>
    <definedName name="OFFER_TARIFF_E2_2">Предложение!$102:$104</definedName>
    <definedName name="OFFER_TARIFF_E2_3">Предложение!$163:$165</definedName>
    <definedName name="OFFER_TARIFF_E2_4">Предложение!$224:$226</definedName>
    <definedName name="OFFER_TARIFF_E2_5">Предложение!$285:$287</definedName>
    <definedName name="OFFER_TARIFF_F_1">Предложение!$42:$44</definedName>
    <definedName name="OFFER_TARIFF_F_2">Предложение!$105:$107</definedName>
    <definedName name="OFFER_TARIFF_F_3">Предложение!$166:$168</definedName>
    <definedName name="OFFER_TARIFF_F_4">Предложение!$227:$229</definedName>
    <definedName name="OFFER_TARIFF_F_5">Предложение!$288:$290</definedName>
    <definedName name="OFFER_TARIFF_G_1">Предложение!$45:$47</definedName>
    <definedName name="OFFER_TARIFF_G_2">Предложение!$108:$110</definedName>
    <definedName name="OFFER_TARIFF_G_3">Предложение!$169:$171</definedName>
    <definedName name="OFFER_TARIFF_G_4">Предложение!$230:$232</definedName>
    <definedName name="OFFER_TARIFF_G_5">Предложение!$291:$293</definedName>
    <definedName name="OFFER_TARIFF_H_1">Предложение!$48:$50</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B_STANDARTS">'Стандарты качества'!$H$12:$H$13</definedName>
    <definedName name="pDel_CHANGE_INFO">'Сведения об изменении'!$C$12:$C$13</definedName>
    <definedName name="pDel_Comm">Комментарии!$C$11:$C$12</definedName>
    <definedName name="pDel_DIFFERENTIATION_AREA">Дифференциация!$G$12:$G$19</definedName>
    <definedName name="pDel_DIFFERENTIATION_SYSTEM">Дифференциация!$K$12:$K$19</definedName>
    <definedName name="pDel_DIFFERENTIATION_VD">Дифференциация!$C$12:$C$19</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ФХД'!$K$24</definedName>
    <definedName name="pIns_B_FHD_TKO_2">'ТКО. Показатели ФХД'!$F$34</definedName>
    <definedName name="pIns_B_FHD_TKO_DIFFERENTIATION">'ТКО. Показатели ФХД'!$K$9</definedName>
    <definedName name="pIns_B_FHD_TKO_TRANS_2">'ТКО. Транс. Показатели ФХД'!$F$29</definedName>
    <definedName name="pIns_B_FHD_TKO_TRANS_DIFFERENTIATION">'ТКО. Транс. Показатели ФХД'!$K$9</definedName>
    <definedName name="pIns_B_FHD20_DIFFERENTIATION">'Показатели ФХД &gt;20%'!$D$32</definedName>
    <definedName name="pIns_B_KNE_DIFFERENTIATION">'Показатели КНЭ'!$M$6</definedName>
    <definedName name="pIns_B_OTEP_2">'Показатели ОТЭП'!$J$18</definedName>
    <definedName name="pIns_B_OTEP_DIFFERENTIATION">'Показатели ОТЭП'!$O$9</definedName>
    <definedName name="pIns_B_STANDARTS">'Стандарты качества'!$J$13</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Предложение!$G$53</definedName>
    <definedName name="pIns_PT_VTAR_A_COLDVSNA_OFFER_2">Предложение!$G$116</definedName>
    <definedName name="pIns_PT_VTAR_A_COLDVSNA_OFFER_3">Предложение!$G$177</definedName>
    <definedName name="pIns_PT_VTAR_A_COLDVSNA_OFFER_4">Предложение!$G$238</definedName>
    <definedName name="pIns_PT_VTAR_A_COLDVSNA_OFFER_5">Предложение!$G$299</definedName>
    <definedName name="pIns_PT_VTAR_A_COLDVSNA_OFFER5">Предложение!$G$299</definedName>
    <definedName name="pIns_PT_VTAR_A_HOTVSNA">'ГВС. Т-гор.вода'!$T$54</definedName>
    <definedName name="pIns_PT_VTAR_A_HOTVSNA_OFFER_1">Предложение!$G$68</definedName>
    <definedName name="pIns_PT_VTAR_A_HOTVSNA_OFFER_2">Предложение!$G$131</definedName>
    <definedName name="pIns_PT_VTAR_A_HOTVSNA_OFFER_3">Предложение!$G$192</definedName>
    <definedName name="pIns_PT_VTAR_A_HOTVSNA_OFFER_4">Предложение!$G$253</definedName>
    <definedName name="pIns_PT_VTAR_A_HOTVSNA_OFFER_5">Предложение!$G$314</definedName>
    <definedName name="pIns_PT_VTAR_A_OFFER_1">Предложение!$G$26</definedName>
    <definedName name="pIns_PT_VTAR_A_OFFER_2">Предложение!$G$89</definedName>
    <definedName name="pIns_PT_VTAR_A_OFFER_3">Предложение!$G$150</definedName>
    <definedName name="pIns_PT_VTAR_A_OFFER_4">Предложение!$G$211</definedName>
    <definedName name="pIns_PT_VTAR_A_OFFER_5">Предложение!$G$272</definedName>
    <definedName name="pIns_PT_VTAR_A_VOTV">'ВО. Т-во'!$T$53</definedName>
    <definedName name="pIns_PT_VTAR_A_VOTV_OFFER_1">Предложение!$G$77</definedName>
    <definedName name="pIns_PT_VTAR_A_VOTV_OFFER_2">Предложение!$G$140</definedName>
    <definedName name="pIns_PT_VTAR_A_VOTV_OFFER_3">Предложение!$G$201</definedName>
    <definedName name="pIns_PT_VTAR_A_VOTV_OFFER_4">Предложение!$G$262</definedName>
    <definedName name="pIns_PT_VTAR_A_VOTV_OFFER_5">Предложение!$G$323</definedName>
    <definedName name="pIns_PT_VTAR_B">'ТС. Т-ТЭ | ТСО'!$T$57</definedName>
    <definedName name="pIns_PT_VTAR_B_COLDVSNA">'ХВС. Т-тех'!$T$53</definedName>
    <definedName name="pIns_PT_VTAR_B_COLDVSNA_OFFER_1">Предложение!$G$56</definedName>
    <definedName name="pIns_PT_VTAR_B_COLDVSNA_OFFER_2">Предложение!$G$119</definedName>
    <definedName name="pIns_PT_VTAR_B_COLDVSNA_OFFER_3">Предложение!$G$180</definedName>
    <definedName name="pIns_PT_VTAR_B_COLDVSNA_OFFER_4">Предложение!$G$241</definedName>
    <definedName name="pIns_PT_VTAR_B_COLDVSNA_OFFER_5">Предложение!$G$302</definedName>
    <definedName name="pIns_PT_VTAR_B_HOTVSNA">'ГВС. Т-транс'!$T$54</definedName>
    <definedName name="pIns_PT_VTAR_B_HOTVSNA_OFFER_1">Предложение!$G$71</definedName>
    <definedName name="pIns_PT_VTAR_B_HOTVSNA_OFFER_2">Предложение!$G$134</definedName>
    <definedName name="pIns_PT_VTAR_B_HOTVSNA_OFFER_3">Предложение!$G$195</definedName>
    <definedName name="pIns_PT_VTAR_B_HOTVSNA_OFFER_4">Предложение!$G$256</definedName>
    <definedName name="pIns_PT_VTAR_B_HOTVSNA_OFFER_5">Предложение!$G$317</definedName>
    <definedName name="pIns_PT_VTAR_B_OFFER_1">Предложение!$G$29</definedName>
    <definedName name="pIns_PT_VTAR_B_OFFER_2">Предложение!$G$92</definedName>
    <definedName name="pIns_PT_VTAR_B_OFFER_3">Предложение!$G$153</definedName>
    <definedName name="pIns_PT_VTAR_B_OFFER_4">Предложение!$G$214</definedName>
    <definedName name="pIns_PT_VTAR_B_OFFER_5">Предложение!$G$275</definedName>
    <definedName name="pIns_PT_VTAR_B_VOTV">'ВО. Т-транс'!$T$53</definedName>
    <definedName name="pIns_PT_VTAR_B_VOTV_OFFER_1">Предложение!$G$80</definedName>
    <definedName name="pIns_PT_VTAR_B_VOTV_OFFER_2">Предложение!$G$143</definedName>
    <definedName name="pIns_PT_VTAR_B_VOTV_OFFER_3">Предложение!$G$204</definedName>
    <definedName name="pIns_PT_VTAR_B_VOTV_OFFER_4">Предложение!$G$265</definedName>
    <definedName name="pIns_PT_VTAR_B_VOTV_OFFER_5">Предложение!$G$326</definedName>
    <definedName name="pIns_PT_VTAR_C">'ТС. Т-ТН'!$T$57</definedName>
    <definedName name="pIns_PT_VTAR_C_COLDVSNA">'ХВС. Т-транс'!$T$53</definedName>
    <definedName name="pIns_PT_VTAR_C_COLDVSNA_OFFER_1">Предложение!$G$59</definedName>
    <definedName name="pIns_PT_VTAR_C_COLDVSNA_OFFER_2">Предложение!$G$122</definedName>
    <definedName name="pIns_PT_VTAR_C_COLDVSNA_OFFER_3">Предложение!$G$183</definedName>
    <definedName name="pIns_PT_VTAR_C_COLDVSNA_OFFER_4">Предложение!$G$244</definedName>
    <definedName name="pIns_PT_VTAR_C_COLDVSNA_OFFER_5">Предложение!$G$305</definedName>
    <definedName name="pIns_PT_VTAR_C_HOTVSNA">'ГВС. Т-подкл'!$T$63</definedName>
    <definedName name="pIns_PT_VTAR_C_HOTVSNA_OFFER_1">Предложение!$G$74</definedName>
    <definedName name="pIns_PT_VTAR_C_HOTVSNA_OFFER_2">Предложение!$G$137</definedName>
    <definedName name="pIns_PT_VTAR_C_HOTVSNA_OFFER_3">Предложение!$G$198</definedName>
    <definedName name="pIns_PT_VTAR_C_HOTVSNA_OFFER_4">Предложение!$G$259</definedName>
    <definedName name="pIns_PT_VTAR_C_HOTVSNA_OFFER_5">Предложение!$G$320</definedName>
    <definedName name="pIns_PT_VTAR_C_OFFER_1">Предложение!$G$32</definedName>
    <definedName name="pIns_PT_VTAR_C_OFFER_2">Предложение!$G$95</definedName>
    <definedName name="pIns_PT_VTAR_C_OFFER_3">Предложение!$G$156</definedName>
    <definedName name="pIns_PT_VTAR_C_OFFER_4">Предложение!$G$217</definedName>
    <definedName name="pIns_PT_VTAR_C_OFFER_5">Предложение!$G$278</definedName>
    <definedName name="pIns_PT_VTAR_C_VOTV">'ВО. Т-подкл'!$T$63</definedName>
    <definedName name="pIns_PT_VTAR_C_VOTV_OFFER_1">Предложение!$G$83</definedName>
    <definedName name="pIns_PT_VTAR_C_VOTV_OFFER_2">Предложение!$G$146</definedName>
    <definedName name="pIns_PT_VTAR_C_VOTV_OFFER_3">Предложение!$G$207</definedName>
    <definedName name="pIns_PT_VTAR_C_VOTV_OFFER_4">Предложение!$G$268</definedName>
    <definedName name="pIns_PT_VTAR_C_VOTV_OFFER_5">Предложение!$G$329</definedName>
    <definedName name="pIns_PT_VTAR_D">'ТС. Т-гор.вода'!$V$65</definedName>
    <definedName name="pIns_PT_VTAR_D_COLDVSNA">'ХВС. Т-подвоз'!$T$53</definedName>
    <definedName name="pIns_PT_VTAR_D_COLDVSNA_OFFER_1">Предложение!$G$62</definedName>
    <definedName name="pIns_PT_VTAR_D_COLDVSNA_OFFER_2">Предложение!$G$125</definedName>
    <definedName name="pIns_PT_VTAR_D_COLDVSNA_OFFER_3">Предложение!$G$186</definedName>
    <definedName name="pIns_PT_VTAR_D_COLDVSNA_OFFER_4">Предложение!$G$247</definedName>
    <definedName name="pIns_PT_VTAR_D_COLDVSNA_OFFER_5">Предложение!$G$308</definedName>
    <definedName name="pIns_PT_VTAR_D_OFFER_1">Предложение!$G$35</definedName>
    <definedName name="pIns_PT_VTAR_D_OFFER_2">Предложение!$G$98</definedName>
    <definedName name="pIns_PT_VTAR_D_OFFER_3">Предложение!$G$159</definedName>
    <definedName name="pIns_PT_VTAR_D_OFFER_4">Предложение!$G$220</definedName>
    <definedName name="pIns_PT_VTAR_D_OFFER_5">Предложение!$G$281</definedName>
    <definedName name="pIns_PT_VTAR_E_COLDVSNA">'ХВС. Т-подкл'!$T$63</definedName>
    <definedName name="pIns_PT_VTAR_E_COLDVSNA_OFFER_1">Предложение!$G$65</definedName>
    <definedName name="pIns_PT_VTAR_E_COLDVSNA_OFFER_2">Предложение!$G$128</definedName>
    <definedName name="pIns_PT_VTAR_E_COLDVSNA_OFFER_3">Предложение!$G$189</definedName>
    <definedName name="pIns_PT_VTAR_E_COLDVSNA_OFFER_4">Предложение!$G$250</definedName>
    <definedName name="pIns_PT_VTAR_E_COLDVSNA_OFFER_5">Предложение!$G$311</definedName>
    <definedName name="pIns_PT_VTAR_E1">'ТС. Т-передача ТЭ'!$T$57</definedName>
    <definedName name="pIns_PT_VTAR_E1_OFFER_1">Предложение!$G$38</definedName>
    <definedName name="pIns_PT_VTAR_E1_OFFER_2">Предложение!$G$101</definedName>
    <definedName name="pIns_PT_VTAR_E1_OFFER_3">Предложение!$G$162</definedName>
    <definedName name="pIns_PT_VTAR_E1_OFFER_4">Предложение!$G$223</definedName>
    <definedName name="pIns_PT_VTAR_E1_OFFER_5">Предложение!$G$284</definedName>
    <definedName name="pIns_PT_VTAR_E2">'ТС. Т-передача ТН'!$T$57</definedName>
    <definedName name="pIns_PT_VTAR_E2_OFFER_1">Предложение!$G$41</definedName>
    <definedName name="pIns_PT_VTAR_E2_OFFER_2">Предложение!$G$104</definedName>
    <definedName name="pIns_PT_VTAR_E2_OFFER_3">Предложение!$G$165</definedName>
    <definedName name="pIns_PT_VTAR_E2_OFFER_4">Предложение!$G$226</definedName>
    <definedName name="pIns_PT_VTAR_E2_OFFER_5">Предложение!$G$287</definedName>
    <definedName name="pIns_PT_VTAR_F">'ТС. Резерв мощности'!$T$57</definedName>
    <definedName name="pIns_PT_VTAR_F_OFFER_1">Предложение!$G$44</definedName>
    <definedName name="pIns_PT_VTAR_F_OFFER_2">Предложение!$G$107</definedName>
    <definedName name="pIns_PT_VTAR_F_OFFER_3">Предложение!$G$168</definedName>
    <definedName name="pIns_PT_VTAR_F_OFFER_4">Предложение!$G$229</definedName>
    <definedName name="pIns_PT_VTAR_F_OFFER_5">Предложение!$G$290</definedName>
    <definedName name="pIns_PT_VTAR_G">'ТС. Т-подкл'!$T$62</definedName>
    <definedName name="pIns_PT_VTAR_G_OFFER_1">Предложение!$G$47</definedName>
    <definedName name="pIns_PT_VTAR_G_OFFER_2">Предложение!$G$110</definedName>
    <definedName name="pIns_PT_VTAR_G_OFFER_3">Предложение!$G$171</definedName>
    <definedName name="pIns_PT_VTAR_G_OFFER_4">Предложение!$G$232</definedName>
    <definedName name="pIns_PT_VTAR_G_OFFER_5">Предложение!$G$293</definedName>
    <definedName name="pIns_PT_VTAR_H">'ТС. Т-подкл(инд)'!$T$56</definedName>
    <definedName name="pIns_PT_VTAR_H_OFFER_1">Предложение!$G$50</definedName>
    <definedName name="pIns_PT_VTAR_H_OFFER_2">Предложение!$G$113</definedName>
    <definedName name="pIns_PT_VTAR_H_OFFER_3">Предложение!$G$174</definedName>
    <definedName name="pIns_PT_VTAR_H_OFFER_4">Предложение!$G$235</definedName>
    <definedName name="pIns_PT_VTAR_H_OFFER_5">Предложение!$G$296</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Ограничения!$M$25</definedName>
    <definedName name="pIns_Q_PH_DIFFERENTIATION">'Потребительские характеристики'!$M$8</definedName>
    <definedName name="pIns_Q_TP_1">ТП!$E$22</definedName>
    <definedName name="pIns_Q_TP_DIFFERENTIATION">ТП!$J$8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Т-гор.вода'!$AR$37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Ограничения!$M$26</definedName>
    <definedName name="pNote_Q_PH">'Потребительские характеристики'!$M$9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Т-подкл(инд)'!$44:$52</definedName>
    <definedName name="pt_cs_21">'ТС. Т-ТЭ | предел'!$45:$54</definedName>
    <definedName name="pt_cs_21_1">'ТС. Т-ТЭ | индикат'!$45:$54</definedName>
    <definedName name="pt_cs_3">'ТС. Т-ТН'!$45:$54</definedName>
    <definedName name="pt_cs_4">'ТС. Т-гор.вода'!$51:$62</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тарифов'!$AL$12:$AL$137</definedName>
    <definedName name="PT_DIFFERENTIATION_CS_ID">'Перечень тарифов'!$AF$12:$AF$137</definedName>
    <definedName name="PT_DIFFERENTIATION_IST_TE">'Перечень тарифов'!$AM$12:$AM$137</definedName>
    <definedName name="PT_DIFFERENTIATION_IST_TE_ID">'Перечень тарифов'!$AG$12:$AG$137</definedName>
    <definedName name="PT_DIFFERENTIATION_NTAR">'Перечень тарифов'!$AJ$12:$AJ$137</definedName>
    <definedName name="PT_DIFFERENTIATION_NTAR_ID">'Перечень тарифов'!$AD$12:$AD$137</definedName>
    <definedName name="PT_DIFFERENTIATION_NUM_CS">'Перечень тарифов'!$AP$12:$AP$137</definedName>
    <definedName name="PT_DIFFERENTIATION_NUM_IST_TE">'Перечень тарифов'!$AQ$12:$AQ$137</definedName>
    <definedName name="PT_DIFFERENTIATION_NUM_NTAR">'Перечень тарифов'!$AN$12:$AN$137</definedName>
    <definedName name="PT_DIFFERENTIATION_NUM_TER">'Перечень тарифов'!$AO$12:$AO$137</definedName>
    <definedName name="PT_DIFFERENTIATION_TER">'Перечень тарифов'!$AK$12:$AK$137</definedName>
    <definedName name="PT_DIFFERENTIATION_TER_ID">'Перечень тарифов'!$AE$12:$AE$137</definedName>
    <definedName name="PT_DIFFERENTIATION_VDET">'Перечень тарифов'!$AI$12:$AI$137</definedName>
    <definedName name="PT_DIFFERENTIATION_VTAR">'Перечень тарифов'!$AH$12:$AH$137</definedName>
    <definedName name="PT_DIFFERENTIATION_VTAR_ID">'Перечень тарифов'!$AC$12:$AC$137</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тарифов'!$F$63</definedName>
    <definedName name="pt_ist_te_1">'ТС. Т-ТЭ | &gt;=25МВт'!$46:$53</definedName>
    <definedName name="pt_ist_te_2">'ТС. Т-ТЭ | ТСО'!$46:$53</definedName>
    <definedName name="pt_ist_te_20">'ТС. Т-подкл(инд)'!$45:$51</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Т-подкл(инд)'!$42:$55</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Т-подкл(инд)'!$43:$53</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Ограничения!$E$32:$M$39</definedName>
    <definedName name="Q_LIMIT_diff_1">Ограничения!$I$26:$J$28</definedName>
    <definedName name="Q_Limit_diff_5">Ограничения!$K$26:$L$28</definedName>
    <definedName name="Q_LIMIT_p3">Ограничения!$F$36:$M$37</definedName>
    <definedName name="Q_LIMIT_p4">Ограничения!$F$38:$M$39</definedName>
    <definedName name="Q_PH_diff_1">'Потребительские характеристики'!$I$9:$J$11</definedName>
    <definedName name="Q_PH_diff_5">'Потребительские характеристики'!$K$9:$L$11</definedName>
    <definedName name="Q_TP_COUNT_REFUSAL">ТП!$H$17:$H$17</definedName>
    <definedName name="Q_TP_diff_1">ТП!$H$9:$H$11</definedName>
    <definedName name="Q_TP_diff_5">ТП!$I$9:$I$11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IP_RANGE">REESTR_IP!$A$2:$I$7</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Титульный!$F$72</definedName>
    <definedName name="SKI_number">TEHSHEET!$I$2:$I$21</definedName>
    <definedName name="StartDateList">TEHSHEET!$G$46:$G$53</definedName>
    <definedName name="tblEnd_1_B_FHD">'Показатели ФХД'!$K$131</definedName>
    <definedName name="tblEnd_1_B_FHD_TKO">'ТКО. Показатели ФХД'!$K$47</definedName>
    <definedName name="tblEnd_1_B_FHD_TKO_TRANS">'ТКО. Транс. Показатели ФХД'!$K$38</definedName>
    <definedName name="tblEnd_1_B_KNE">'Показатели КНЭ'!$J$101</definedName>
    <definedName name="tblEnd_1_B_OTEP">'Показатели ОТЭП'!$O$34</definedName>
    <definedName name="tblEnd_1_B_STANDARTS">'Стандарты качества'!$L$13</definedName>
    <definedName name="tblEnd_1_CHANGE_INFO">'Сведения об изменении'!$E$14</definedName>
    <definedName name="tblEnd_1_DIFFERENTIATION">Дифференциация!$M$20</definedName>
    <definedName name="tblEnd_1_DIFFERENTIATION_TARIFF">'Перечень тарифов'!$W$136</definedName>
    <definedName name="tblEnd_1_DIFFERENTIATION_TKO">'Дифференциация тариф показатель'!$AI$41</definedName>
    <definedName name="tblEnd_1_ED">ЭД!$H$14</definedName>
    <definedName name="tblEnd_1_IP_DETAILED">'ИП. Детализация'!$AH$14</definedName>
    <definedName name="tblEnd_1_IP_FIN_PLAN">'ИП. Финансовый план'!$K$58</definedName>
    <definedName name="tblEnd_1_IP_MAIN">ИП!$AB$14</definedName>
    <definedName name="tblEnd_1_IP_QRE">'ИП. КНЭ'!$FX$21</definedName>
    <definedName name="tblEnd_1_OFFER">Предложение!$L$330</definedName>
    <definedName name="tblEnd_1_ORG_INFO">'Общая информация об организации'!$F$52</definedName>
    <definedName name="tblEnd_1_ORG_TERRITORY">'Сведения по территориям'!$K$14</definedName>
    <definedName name="tblEnd_1_ORG_VD">'Общая информация по ВД'!$AI$14</definedName>
    <definedName name="tblEnd_1_ORG_VD_TKO">'Виды объектов'!$I$17</definedName>
    <definedName name="tblEnd_1_P_PROCEDURE_TC">'Порядок ТП'!$H$41</definedName>
    <definedName name="tblEnd_1_P_T_TERMS">Договоры!$F$28</definedName>
    <definedName name="tblEnd_1_Q_LIMIT">Ограничения!$M$40</definedName>
    <definedName name="tblEnd_1_Q_PH">'Потребительские характеристики'!$M$21</definedName>
    <definedName name="tblEnd_1_Q_TP">ТП!$J$23</definedName>
    <definedName name="tblEnd_1_R_B_Purch">'Сведения о закупках'!$G$15</definedName>
    <definedName name="tblEnd_1_R_Offer">Предложение!$L$330</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&gt;=25МВт'!$AL$58</definedName>
    <definedName name="tblEnd_1_TARIFF_A_COLDVSNA">'ХВС. Т-пит'!$AJ$54</definedName>
    <definedName name="tblEnd_1_TARIFF_A_HOTVSNA">'ГВС. Т-гор.вода'!$AR$55</definedName>
    <definedName name="tblEnd_1_TARIFF_A_VOTV">'ВО. Т-во'!$AJ$54</definedName>
    <definedName name="tblEnd_1_TARIFF_B">'ТС. Т-ТЭ | ТСО'!$AL$58</definedName>
    <definedName name="tblEnd_1_TARIFF_B_COLDVSNA">'ХВС. Т-тех'!$AJ$54</definedName>
    <definedName name="tblEnd_1_TARIFF_B_HOTVSNA">'ГВС. Т-транс'!$AR$55</definedName>
    <definedName name="tblEnd_1_TARIFF_B_VOTV">'ВО. Т-транс'!$AJ$54</definedName>
    <definedName name="tblEnd_1_TARIFF_C">'ТС. Т-ТН'!$AL$58</definedName>
    <definedName name="tblEnd_1_TARIFF_C_COLDVSNA">'ХВС. Т-транс'!$AJ$54</definedName>
    <definedName name="tblEnd_1_TARIFF_C_HOTVSNA">'ГВС. Т-подкл'!$BB$64</definedName>
    <definedName name="tblEnd_1_TARIFF_C_VOTV">'ВО. Т-подкл'!$BB$64</definedName>
    <definedName name="tblEnd_1_TARIFF_D">'ТС. Т-гор.вода'!$AP$66</definedName>
    <definedName name="tblEnd_1_TARIFF_D_COLDVSNA">'ХВС. Т-подвоз'!$AJ$54</definedName>
    <definedName name="tblEnd_1_TARIFF_E_COLDVSNA">'ХВС. Т-подкл'!$BB$64</definedName>
    <definedName name="tblEnd_1_TARIFF_E1">'ТС. Т-передача ТЭ'!$AL$58</definedName>
    <definedName name="tblEnd_1_TARIFF_E2">'ТС. Т-передача ТН'!$AL$58</definedName>
    <definedName name="tblEnd_1_TARIFF_F">'ТС. Резерв мощности'!$AL$58</definedName>
    <definedName name="tblEnd_1_TARIFF_G">'ТС. Т-подкл'!$AT$63</definedName>
    <definedName name="tblEnd_1_TARIFF_H">'ТС. Т-подкл(инд)'!$AJ$57</definedName>
    <definedName name="tblEnd_1_TARIFF_I">'ТС. Т-ТЭ | предел'!$AL$54</definedName>
    <definedName name="tblEnd_1_TARIFF_I_1">'ТС. Т-ТЭ | индикат'!$AL$58</definedName>
    <definedName name="tblEnd_1_TERRITORY">'Список территорий'!$I$16</definedName>
    <definedName name="tblStart_1_B_FHD">'Показатели ФХД'!$I$30</definedName>
    <definedName name="tblStart_1_B_FHD_TKO">'ТКО. Показатели ФХД'!$I$15</definedName>
    <definedName name="tblStart_1_B_FHD_TKO_TRANS">'ТКО. Транс. Показатели ФХД'!$I$15</definedName>
    <definedName name="tblStart_1_B_KNE">'Показатели КНЭ'!$I$12</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'Перечень тарифов'!$G$13</definedName>
    <definedName name="tblStart_1_DIFFERENTIATION_TKO">'Дифференциация тариф показатель'!$K$11</definedName>
    <definedName name="tblStart_1_ED">ЭД!$E$12</definedName>
    <definedName name="tblStart_1_IP_DETAILED">'ИП. Детализация'!$I$13</definedName>
    <definedName name="tblStart_1_IP_FIN_PLAN">'ИП. Финансовый план'!$J$14</definedName>
    <definedName name="tblStart_1_IP_MAIN">ИП!$H$11</definedName>
    <definedName name="tblStart_1_IP_QRE">'ИП. КНЭ'!$O$18</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'Сведения о закупках'!$F$10</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'Список территорий'!$G$12</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OTV_ROIV">Титульный!$F$10</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_ID_LIST">REESTR_VED!$A$2:$A$11</definedName>
    <definedName name="VD_LIST">REESTR_VED!$A$2:$B$11</definedName>
    <definedName name="VD_NAME_LIST">REESTR_VED!$B$2:$B$11</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Дифференциация!$F$12:$F$19</definedName>
    <definedName name="Y_N_DIFFERENTIATION_SYSTEM">Дифференциация!$J$12:$J$19</definedName>
    <definedName name="YEAR_IP_LIST">TEHSHEET!$BE$2:$BE$72</definedName>
    <definedName name="year_list">TEHSHEET!$C$2:$C$6</definedName>
    <definedName name="year_list1">TEHSHEET!$B$2:$B$27</definedName>
  </definedNames>
  <calcPr calcId="191029" iterate="1"/>
</workbook>
</file>

<file path=xl/calcChain.xml><?xml version="1.0" encoding="utf-8"?>
<calcChain xmlns="http://schemas.openxmlformats.org/spreadsheetml/2006/main">
  <c r="I16" i="4" l="1"/>
  <c r="AA32" i="64"/>
  <c r="AA31" i="64"/>
  <c r="AA30" i="64"/>
  <c r="AA29" i="64"/>
  <c r="AA28" i="64"/>
  <c r="AA27" i="64"/>
  <c r="AA26" i="64"/>
  <c r="R26" i="64"/>
  <c r="AA25" i="64"/>
  <c r="Y25" i="64"/>
  <c r="AA24" i="64"/>
  <c r="AA23" i="64"/>
  <c r="AA22" i="64"/>
  <c r="AA21" i="64"/>
  <c r="AA20" i="64"/>
  <c r="AA19" i="64"/>
  <c r="Q18" i="64"/>
  <c r="R18" i="64" s="1"/>
  <c r="S18" i="64" s="1"/>
  <c r="T18" i="64" s="1"/>
  <c r="V18" i="64" s="1"/>
  <c r="W18" i="64" s="1"/>
  <c r="X18" i="64" s="1"/>
  <c r="N18" i="64"/>
  <c r="O18" i="64" s="1"/>
  <c r="O11" i="64"/>
  <c r="O10" i="64"/>
  <c r="O9" i="64"/>
  <c r="O8" i="64"/>
  <c r="L6" i="64"/>
  <c r="M148" i="63"/>
  <c r="N101" i="63"/>
  <c r="K130" i="33" s="1"/>
  <c r="L101" i="63"/>
  <c r="K101" i="63"/>
  <c r="J101" i="63"/>
  <c r="M101" i="63" s="1"/>
  <c r="F130" i="33" s="1"/>
  <c r="I101" i="63"/>
  <c r="N100" i="63"/>
  <c r="K100" i="63"/>
  <c r="J100" i="63"/>
  <c r="M100" i="63" s="1"/>
  <c r="F129" i="33" s="1"/>
  <c r="I100" i="63"/>
  <c r="L100" i="63" s="1"/>
  <c r="M99" i="63"/>
  <c r="L99" i="63"/>
  <c r="E128" i="33" s="1"/>
  <c r="K99" i="63"/>
  <c r="N99" i="63" s="1"/>
  <c r="K128" i="33" s="1"/>
  <c r="J99" i="63"/>
  <c r="I99" i="63"/>
  <c r="M98" i="63"/>
  <c r="L98" i="63"/>
  <c r="K98" i="63"/>
  <c r="N98" i="63" s="1"/>
  <c r="J98" i="63"/>
  <c r="I98" i="63"/>
  <c r="L97" i="63"/>
  <c r="K97" i="63"/>
  <c r="N97" i="63" s="1"/>
  <c r="K126" i="33" s="1"/>
  <c r="J97" i="63"/>
  <c r="M97" i="63" s="1"/>
  <c r="F126" i="33" s="1"/>
  <c r="I97" i="63"/>
  <c r="K96" i="63"/>
  <c r="N96" i="63" s="1"/>
  <c r="K123" i="33" s="1"/>
  <c r="J96" i="63"/>
  <c r="M96" i="63" s="1"/>
  <c r="F123" i="33" s="1"/>
  <c r="I96" i="63"/>
  <c r="L96" i="63" s="1"/>
  <c r="K95" i="63"/>
  <c r="N95" i="63" s="1"/>
  <c r="K120" i="33" s="1"/>
  <c r="J95" i="63"/>
  <c r="M95" i="63" s="1"/>
  <c r="F120" i="33" s="1"/>
  <c r="I95" i="63"/>
  <c r="L95" i="63" s="1"/>
  <c r="N94" i="63"/>
  <c r="M94" i="63"/>
  <c r="K94" i="63"/>
  <c r="J94" i="63"/>
  <c r="I94" i="63"/>
  <c r="L94" i="63" s="1"/>
  <c r="E117" i="33" s="1"/>
  <c r="E118" i="33" s="1"/>
  <c r="K93" i="63"/>
  <c r="N93" i="63" s="1"/>
  <c r="K116" i="33" s="1"/>
  <c r="J93" i="63"/>
  <c r="M93" i="63" s="1"/>
  <c r="F116" i="33" s="1"/>
  <c r="I93" i="63"/>
  <c r="L93" i="63" s="1"/>
  <c r="N92" i="63"/>
  <c r="K92" i="63"/>
  <c r="J92" i="63"/>
  <c r="M92" i="63" s="1"/>
  <c r="I92" i="63"/>
  <c r="L92" i="63" s="1"/>
  <c r="E115" i="33" s="1"/>
  <c r="N91" i="63"/>
  <c r="K114" i="33" s="1"/>
  <c r="L91" i="63"/>
  <c r="K91" i="63"/>
  <c r="J91" i="63"/>
  <c r="M91" i="63" s="1"/>
  <c r="I91" i="63"/>
  <c r="N90" i="63"/>
  <c r="M90" i="63"/>
  <c r="F113" i="33" s="1"/>
  <c r="K90" i="63"/>
  <c r="J90" i="63"/>
  <c r="I90" i="63"/>
  <c r="L90" i="63" s="1"/>
  <c r="N89" i="63"/>
  <c r="M89" i="63"/>
  <c r="F112" i="33" s="1"/>
  <c r="L89" i="63"/>
  <c r="E112" i="33" s="1"/>
  <c r="K89" i="63"/>
  <c r="J89" i="63"/>
  <c r="I89" i="63"/>
  <c r="N88" i="63"/>
  <c r="M88" i="63"/>
  <c r="L88" i="63"/>
  <c r="E111" i="33" s="1"/>
  <c r="K88" i="63"/>
  <c r="J88" i="63"/>
  <c r="I88" i="63"/>
  <c r="L87" i="63"/>
  <c r="K87" i="63"/>
  <c r="N87" i="63" s="1"/>
  <c r="J87" i="63"/>
  <c r="M87" i="63" s="1"/>
  <c r="F110" i="33" s="1"/>
  <c r="I87" i="63"/>
  <c r="L86" i="63"/>
  <c r="K86" i="63"/>
  <c r="N86" i="63" s="1"/>
  <c r="K109" i="33" s="1"/>
  <c r="J86" i="63"/>
  <c r="M86" i="63" s="1"/>
  <c r="I86" i="63"/>
  <c r="L85" i="63"/>
  <c r="E108" i="33" s="1"/>
  <c r="K85" i="63"/>
  <c r="N85" i="63" s="1"/>
  <c r="J85" i="63"/>
  <c r="M85" i="63" s="1"/>
  <c r="F108" i="33" s="1"/>
  <c r="I85" i="63"/>
  <c r="N84" i="63"/>
  <c r="M84" i="63"/>
  <c r="K84" i="63"/>
  <c r="J84" i="63"/>
  <c r="I84" i="63"/>
  <c r="L84" i="63" s="1"/>
  <c r="E107" i="33" s="1"/>
  <c r="K83" i="63"/>
  <c r="N83" i="63" s="1"/>
  <c r="K106" i="33" s="1"/>
  <c r="J83" i="63"/>
  <c r="M83" i="63" s="1"/>
  <c r="I83" i="63"/>
  <c r="L83" i="63" s="1"/>
  <c r="N82" i="63"/>
  <c r="K105" i="33" s="1"/>
  <c r="K82" i="63"/>
  <c r="J82" i="63"/>
  <c r="M82" i="63" s="1"/>
  <c r="F105" i="33" s="1"/>
  <c r="I82" i="63"/>
  <c r="L82" i="63" s="1"/>
  <c r="N81" i="63"/>
  <c r="K104" i="33" s="1"/>
  <c r="L81" i="63"/>
  <c r="K81" i="63"/>
  <c r="J81" i="63"/>
  <c r="M81" i="63" s="1"/>
  <c r="F104" i="33" s="1"/>
  <c r="I81" i="63"/>
  <c r="N80" i="63"/>
  <c r="M80" i="63"/>
  <c r="F103" i="33" s="1"/>
  <c r="K80" i="63"/>
  <c r="J80" i="63"/>
  <c r="I80" i="63"/>
  <c r="L80" i="63" s="1"/>
  <c r="E103" i="33" s="1"/>
  <c r="N79" i="63"/>
  <c r="M79" i="63"/>
  <c r="L79" i="63"/>
  <c r="K79" i="63"/>
  <c r="J79" i="63"/>
  <c r="I79" i="63"/>
  <c r="N78" i="63"/>
  <c r="K99" i="33" s="1"/>
  <c r="M78" i="63"/>
  <c r="L78" i="63"/>
  <c r="E99" i="33" s="1"/>
  <c r="E100" i="33" s="1"/>
  <c r="K78" i="63"/>
  <c r="J78" i="63"/>
  <c r="I78" i="63"/>
  <c r="L77" i="63"/>
  <c r="K77" i="63"/>
  <c r="N77" i="63" s="1"/>
  <c r="K98" i="33" s="1"/>
  <c r="J77" i="63"/>
  <c r="M77" i="63" s="1"/>
  <c r="F98" i="33" s="1"/>
  <c r="I77" i="63"/>
  <c r="L76" i="63"/>
  <c r="E97" i="33" s="1"/>
  <c r="K76" i="63"/>
  <c r="N76" i="63" s="1"/>
  <c r="J76" i="63"/>
  <c r="M76" i="63" s="1"/>
  <c r="F97" i="33" s="1"/>
  <c r="I76" i="63"/>
  <c r="L75" i="63"/>
  <c r="E96" i="33" s="1"/>
  <c r="K75" i="63"/>
  <c r="N75" i="63" s="1"/>
  <c r="J75" i="63"/>
  <c r="M75" i="63" s="1"/>
  <c r="F96" i="33" s="1"/>
  <c r="I75" i="63"/>
  <c r="N74" i="63"/>
  <c r="M74" i="63"/>
  <c r="F95" i="33" s="1"/>
  <c r="K74" i="63"/>
  <c r="J74" i="63"/>
  <c r="I74" i="63"/>
  <c r="L74" i="63" s="1"/>
  <c r="E95" i="33" s="1"/>
  <c r="K73" i="63"/>
  <c r="N73" i="63" s="1"/>
  <c r="K94" i="33" s="1"/>
  <c r="J73" i="63"/>
  <c r="M73" i="63" s="1"/>
  <c r="I73" i="63"/>
  <c r="L73" i="63" s="1"/>
  <c r="N72" i="63"/>
  <c r="K72" i="63"/>
  <c r="J72" i="63"/>
  <c r="M72" i="63" s="1"/>
  <c r="F93" i="33" s="1"/>
  <c r="I72" i="63"/>
  <c r="L72" i="63" s="1"/>
  <c r="E93" i="33" s="1"/>
  <c r="N71" i="63"/>
  <c r="L71" i="63"/>
  <c r="K71" i="63"/>
  <c r="J71" i="63"/>
  <c r="M71" i="63" s="1"/>
  <c r="F92" i="33" s="1"/>
  <c r="I71" i="63"/>
  <c r="N70" i="63"/>
  <c r="M70" i="63"/>
  <c r="K70" i="63"/>
  <c r="J70" i="63"/>
  <c r="I70" i="63"/>
  <c r="L70" i="63" s="1"/>
  <c r="N69" i="63"/>
  <c r="K90" i="33" s="1"/>
  <c r="M69" i="63"/>
  <c r="F90" i="33" s="1"/>
  <c r="L69" i="63"/>
  <c r="K69" i="63"/>
  <c r="J69" i="63"/>
  <c r="I69" i="63"/>
  <c r="N68" i="63"/>
  <c r="K89" i="33" s="1"/>
  <c r="M68" i="63"/>
  <c r="L68" i="63"/>
  <c r="K68" i="63"/>
  <c r="J68" i="63"/>
  <c r="I68" i="63"/>
  <c r="L67" i="63"/>
  <c r="K67" i="63"/>
  <c r="N67" i="63" s="1"/>
  <c r="K88" i="33" s="1"/>
  <c r="J67" i="63"/>
  <c r="M67" i="63" s="1"/>
  <c r="F88" i="33" s="1"/>
  <c r="I67" i="63"/>
  <c r="L66" i="63"/>
  <c r="K66" i="63"/>
  <c r="N66" i="63" s="1"/>
  <c r="J66" i="63"/>
  <c r="M66" i="63" s="1"/>
  <c r="F87" i="33" s="1"/>
  <c r="I66" i="63"/>
  <c r="L65" i="63"/>
  <c r="E86" i="33" s="1"/>
  <c r="K65" i="63"/>
  <c r="N65" i="63" s="1"/>
  <c r="K86" i="33" s="1"/>
  <c r="J65" i="63"/>
  <c r="M65" i="63" s="1"/>
  <c r="F86" i="33" s="1"/>
  <c r="I65" i="63"/>
  <c r="N64" i="63"/>
  <c r="M64" i="63"/>
  <c r="K64" i="63"/>
  <c r="J64" i="63"/>
  <c r="I64" i="63"/>
  <c r="L64" i="63" s="1"/>
  <c r="E85" i="33" s="1"/>
  <c r="K63" i="63"/>
  <c r="N63" i="63" s="1"/>
  <c r="K84" i="33" s="1"/>
  <c r="J63" i="63"/>
  <c r="M63" i="63" s="1"/>
  <c r="I63" i="63"/>
  <c r="L63" i="63" s="1"/>
  <c r="E84" i="33" s="1"/>
  <c r="N62" i="63"/>
  <c r="K83" i="33" s="1"/>
  <c r="K62" i="63"/>
  <c r="J62" i="63"/>
  <c r="M62" i="63" s="1"/>
  <c r="I62" i="63"/>
  <c r="L62" i="63" s="1"/>
  <c r="E83" i="33" s="1"/>
  <c r="N61" i="63"/>
  <c r="K82" i="33" s="1"/>
  <c r="L61" i="63"/>
  <c r="K61" i="63"/>
  <c r="J61" i="63"/>
  <c r="M61" i="63" s="1"/>
  <c r="F82" i="33" s="1"/>
  <c r="I61" i="63"/>
  <c r="N60" i="63"/>
  <c r="M60" i="63"/>
  <c r="K60" i="63"/>
  <c r="J60" i="63"/>
  <c r="I60" i="63"/>
  <c r="L60" i="63" s="1"/>
  <c r="E81" i="33" s="1"/>
  <c r="N59" i="63"/>
  <c r="M59" i="63"/>
  <c r="L59" i="63"/>
  <c r="E80" i="33" s="1"/>
  <c r="K59" i="63"/>
  <c r="J59" i="63"/>
  <c r="I59" i="63"/>
  <c r="T58" i="63"/>
  <c r="J58" i="63" s="1"/>
  <c r="M58" i="63" s="1"/>
  <c r="F79" i="33" s="1"/>
  <c r="N58" i="63"/>
  <c r="K79" i="33" s="1"/>
  <c r="K58" i="63"/>
  <c r="I58" i="63"/>
  <c r="L58" i="63" s="1"/>
  <c r="T57" i="63"/>
  <c r="J57" i="63" s="1"/>
  <c r="M57" i="63" s="1"/>
  <c r="F78" i="33" s="1"/>
  <c r="N57" i="63"/>
  <c r="K57" i="63"/>
  <c r="I57" i="63"/>
  <c r="L57" i="63" s="1"/>
  <c r="E78" i="33" s="1"/>
  <c r="T56" i="63"/>
  <c r="N56" i="63"/>
  <c r="M56" i="63"/>
  <c r="F77" i="33" s="1"/>
  <c r="K56" i="63"/>
  <c r="J56" i="63"/>
  <c r="I56" i="63"/>
  <c r="L56" i="63" s="1"/>
  <c r="E77" i="33" s="1"/>
  <c r="T55" i="63"/>
  <c r="J55" i="63" s="1"/>
  <c r="M55" i="63" s="1"/>
  <c r="F76" i="33" s="1"/>
  <c r="N55" i="63"/>
  <c r="L55" i="63"/>
  <c r="K55" i="63"/>
  <c r="I55" i="63"/>
  <c r="N54" i="63"/>
  <c r="M54" i="63"/>
  <c r="K54" i="63"/>
  <c r="J54" i="63"/>
  <c r="I54" i="63"/>
  <c r="L54" i="63" s="1"/>
  <c r="N53" i="63"/>
  <c r="M53" i="63"/>
  <c r="F74" i="33" s="1"/>
  <c r="L53" i="63"/>
  <c r="E74" i="33" s="1"/>
  <c r="K53" i="63"/>
  <c r="J53" i="63"/>
  <c r="I53" i="63"/>
  <c r="N52" i="63"/>
  <c r="M52" i="63"/>
  <c r="F73" i="33" s="1"/>
  <c r="L52" i="63"/>
  <c r="E73" i="33" s="1"/>
  <c r="K52" i="63"/>
  <c r="J52" i="63"/>
  <c r="I52" i="63"/>
  <c r="L51" i="63"/>
  <c r="K51" i="63"/>
  <c r="N51" i="63" s="1"/>
  <c r="K72" i="33" s="1"/>
  <c r="J51" i="63"/>
  <c r="M51" i="63" s="1"/>
  <c r="I51" i="63"/>
  <c r="L50" i="63"/>
  <c r="K50" i="63"/>
  <c r="N50" i="63" s="1"/>
  <c r="K69" i="33" s="1"/>
  <c r="J50" i="63"/>
  <c r="M50" i="63" s="1"/>
  <c r="F69" i="33" s="1"/>
  <c r="I50" i="63"/>
  <c r="L49" i="63"/>
  <c r="E68" i="33" s="1"/>
  <c r="K49" i="63"/>
  <c r="N49" i="63" s="1"/>
  <c r="J49" i="63"/>
  <c r="M49" i="63" s="1"/>
  <c r="F68" i="33" s="1"/>
  <c r="I49" i="63"/>
  <c r="N48" i="63"/>
  <c r="M48" i="63"/>
  <c r="F67" i="33" s="1"/>
  <c r="K48" i="63"/>
  <c r="J48" i="63"/>
  <c r="I48" i="63"/>
  <c r="L48" i="63" s="1"/>
  <c r="E67" i="33" s="1"/>
  <c r="L67" i="33" s="1"/>
  <c r="K47" i="63"/>
  <c r="N47" i="63" s="1"/>
  <c r="K66" i="33" s="1"/>
  <c r="J47" i="63"/>
  <c r="M47" i="63" s="1"/>
  <c r="F66" i="33" s="1"/>
  <c r="I47" i="63"/>
  <c r="L47" i="63" s="1"/>
  <c r="T46" i="63"/>
  <c r="J46" i="63" s="1"/>
  <c r="M46" i="63" s="1"/>
  <c r="K46" i="63"/>
  <c r="N46" i="63" s="1"/>
  <c r="K65" i="33" s="1"/>
  <c r="I46" i="63"/>
  <c r="L46" i="63" s="1"/>
  <c r="E65" i="33" s="1"/>
  <c r="L65" i="33" s="1"/>
  <c r="M45" i="63"/>
  <c r="L45" i="63"/>
  <c r="K45" i="63"/>
  <c r="N45" i="63" s="1"/>
  <c r="K64" i="33" s="1"/>
  <c r="J45" i="63"/>
  <c r="I45" i="63"/>
  <c r="N44" i="63"/>
  <c r="K63" i="33" s="1"/>
  <c r="K44" i="63"/>
  <c r="J44" i="63"/>
  <c r="M44" i="63" s="1"/>
  <c r="F63" i="33" s="1"/>
  <c r="I44" i="63"/>
  <c r="L44" i="63" s="1"/>
  <c r="N43" i="63"/>
  <c r="K62" i="33" s="1"/>
  <c r="M43" i="63"/>
  <c r="F62" i="33" s="1"/>
  <c r="K43" i="63"/>
  <c r="J43" i="63"/>
  <c r="I43" i="63"/>
  <c r="L43" i="63" s="1"/>
  <c r="N42" i="63"/>
  <c r="K61" i="33" s="1"/>
  <c r="M42" i="63"/>
  <c r="F61" i="33" s="1"/>
  <c r="K42" i="63"/>
  <c r="J42" i="63"/>
  <c r="I42" i="63"/>
  <c r="L42" i="63" s="1"/>
  <c r="E61" i="33" s="1"/>
  <c r="L61" i="33" s="1"/>
  <c r="M41" i="63"/>
  <c r="L41" i="63"/>
  <c r="E60" i="33" s="1"/>
  <c r="L60" i="33" s="1"/>
  <c r="K41" i="63"/>
  <c r="N41" i="63" s="1"/>
  <c r="K60" i="33" s="1"/>
  <c r="J41" i="63"/>
  <c r="I41" i="63"/>
  <c r="M40" i="63"/>
  <c r="L40" i="63"/>
  <c r="K40" i="63"/>
  <c r="N40" i="63" s="1"/>
  <c r="K59" i="33" s="1"/>
  <c r="J40" i="63"/>
  <c r="I40" i="63"/>
  <c r="M39" i="63"/>
  <c r="F58" i="33" s="1"/>
  <c r="L39" i="63"/>
  <c r="K39" i="63"/>
  <c r="N39" i="63" s="1"/>
  <c r="K58" i="33" s="1"/>
  <c r="J39" i="63"/>
  <c r="I39" i="63"/>
  <c r="N38" i="63"/>
  <c r="K57" i="33" s="1"/>
  <c r="K38" i="63"/>
  <c r="J38" i="63"/>
  <c r="M38" i="63" s="1"/>
  <c r="F57" i="33" s="1"/>
  <c r="I38" i="63"/>
  <c r="L38" i="63" s="1"/>
  <c r="K37" i="63"/>
  <c r="N37" i="63" s="1"/>
  <c r="K56" i="33" s="1"/>
  <c r="J37" i="63"/>
  <c r="M37" i="63" s="1"/>
  <c r="F56" i="33" s="1"/>
  <c r="I37" i="63"/>
  <c r="L37" i="63" s="1"/>
  <c r="E56" i="33" s="1"/>
  <c r="L56" i="33" s="1"/>
  <c r="K36" i="63"/>
  <c r="N36" i="63" s="1"/>
  <c r="K55" i="33" s="1"/>
  <c r="J36" i="63"/>
  <c r="M36" i="63" s="1"/>
  <c r="I36" i="63"/>
  <c r="L36" i="63" s="1"/>
  <c r="E55" i="33" s="1"/>
  <c r="L55" i="33" s="1"/>
  <c r="T35" i="63"/>
  <c r="N35" i="63"/>
  <c r="M35" i="63"/>
  <c r="K35" i="63"/>
  <c r="J35" i="63"/>
  <c r="I35" i="63"/>
  <c r="L35" i="63" s="1"/>
  <c r="K34" i="63"/>
  <c r="N34" i="63" s="1"/>
  <c r="K53" i="33" s="1"/>
  <c r="J34" i="63"/>
  <c r="M34" i="63" s="1"/>
  <c r="F53" i="33" s="1"/>
  <c r="I34" i="63"/>
  <c r="L34" i="63" s="1"/>
  <c r="E53" i="33" s="1"/>
  <c r="L53" i="33" s="1"/>
  <c r="T33" i="63"/>
  <c r="J33" i="63" s="1"/>
  <c r="M33" i="63" s="1"/>
  <c r="F52" i="33" s="1"/>
  <c r="K33" i="63"/>
  <c r="N33" i="63" s="1"/>
  <c r="K52" i="33" s="1"/>
  <c r="I33" i="63"/>
  <c r="L33" i="63" s="1"/>
  <c r="E52" i="33" s="1"/>
  <c r="L52" i="33" s="1"/>
  <c r="T32" i="63"/>
  <c r="N32" i="63"/>
  <c r="M32" i="63"/>
  <c r="F51" i="33" s="1"/>
  <c r="K32" i="63"/>
  <c r="J32" i="63"/>
  <c r="I32" i="63"/>
  <c r="L32" i="63" s="1"/>
  <c r="K31" i="63"/>
  <c r="N31" i="63" s="1"/>
  <c r="K50" i="33" s="1"/>
  <c r="J31" i="63"/>
  <c r="M31" i="63" s="1"/>
  <c r="I31" i="63"/>
  <c r="L31" i="63" s="1"/>
  <c r="E50" i="33" s="1"/>
  <c r="L50" i="33" s="1"/>
  <c r="N30" i="63"/>
  <c r="K49" i="33" s="1"/>
  <c r="K30" i="63"/>
  <c r="J30" i="63"/>
  <c r="M30" i="63" s="1"/>
  <c r="I30" i="63"/>
  <c r="L30" i="63" s="1"/>
  <c r="T29" i="63"/>
  <c r="J29" i="63" s="1"/>
  <c r="M29" i="63" s="1"/>
  <c r="F48" i="33" s="1"/>
  <c r="L29" i="63"/>
  <c r="K29" i="63"/>
  <c r="N29" i="63" s="1"/>
  <c r="K48" i="33" s="1"/>
  <c r="I29" i="63"/>
  <c r="N28" i="63"/>
  <c r="K47" i="33" s="1"/>
  <c r="K28" i="63"/>
  <c r="J28" i="63"/>
  <c r="M28" i="63" s="1"/>
  <c r="F47" i="33" s="1"/>
  <c r="I28" i="63"/>
  <c r="L28" i="63" s="1"/>
  <c r="N27" i="63"/>
  <c r="K46" i="33" s="1"/>
  <c r="M27" i="63"/>
  <c r="F46" i="33" s="1"/>
  <c r="K27" i="63"/>
  <c r="J27" i="63"/>
  <c r="I27" i="63"/>
  <c r="L27" i="63" s="1"/>
  <c r="T26" i="63"/>
  <c r="J26" i="63" s="1"/>
  <c r="M26" i="63" s="1"/>
  <c r="N26" i="63"/>
  <c r="K45" i="33" s="1"/>
  <c r="L26" i="63"/>
  <c r="E45" i="33" s="1"/>
  <c r="L45" i="33" s="1"/>
  <c r="K26" i="63"/>
  <c r="I26" i="63"/>
  <c r="N25" i="63"/>
  <c r="M25" i="63"/>
  <c r="K25" i="63"/>
  <c r="J25" i="63"/>
  <c r="I25" i="63"/>
  <c r="L25" i="63" s="1"/>
  <c r="N24" i="63"/>
  <c r="K43" i="33" s="1"/>
  <c r="M24" i="63"/>
  <c r="L24" i="63"/>
  <c r="K24" i="63"/>
  <c r="J24" i="63"/>
  <c r="I24" i="63"/>
  <c r="N23" i="63"/>
  <c r="K42" i="33" s="1"/>
  <c r="M23" i="63"/>
  <c r="F42" i="33" s="1"/>
  <c r="L23" i="63"/>
  <c r="K23" i="63"/>
  <c r="J23" i="63"/>
  <c r="I23" i="63"/>
  <c r="L22" i="63"/>
  <c r="K22" i="63"/>
  <c r="N22" i="63" s="1"/>
  <c r="K41" i="33" s="1"/>
  <c r="J22" i="63"/>
  <c r="M22" i="63" s="1"/>
  <c r="F41" i="33" s="1"/>
  <c r="I22" i="63"/>
  <c r="L21" i="63"/>
  <c r="K21" i="63"/>
  <c r="N21" i="63" s="1"/>
  <c r="K33" i="33" s="1"/>
  <c r="J21" i="63"/>
  <c r="M21" i="63" s="1"/>
  <c r="F33" i="33" s="1"/>
  <c r="I21" i="63"/>
  <c r="L20" i="63"/>
  <c r="E32" i="33" s="1"/>
  <c r="K20" i="63"/>
  <c r="N20" i="63" s="1"/>
  <c r="J20" i="63"/>
  <c r="M20" i="63" s="1"/>
  <c r="F32" i="33" s="1"/>
  <c r="I20" i="63"/>
  <c r="N19" i="63"/>
  <c r="M19" i="63"/>
  <c r="F31" i="33" s="1"/>
  <c r="K19" i="63"/>
  <c r="J19" i="63"/>
  <c r="I19" i="63"/>
  <c r="L19" i="63" s="1"/>
  <c r="E31" i="33" s="1"/>
  <c r="K18" i="63"/>
  <c r="N18" i="63" s="1"/>
  <c r="K30" i="33" s="1"/>
  <c r="J18" i="63"/>
  <c r="M18" i="63" s="1"/>
  <c r="I18" i="63"/>
  <c r="L18" i="63" s="1"/>
  <c r="AA16" i="63"/>
  <c r="N16" i="63"/>
  <c r="U15" i="63"/>
  <c r="N15" i="63"/>
  <c r="J19" i="45" s="1"/>
  <c r="M15" i="63"/>
  <c r="U14" i="63"/>
  <c r="N14" i="63"/>
  <c r="M14" i="63"/>
  <c r="AA13" i="63"/>
  <c r="N13" i="63"/>
  <c r="M13" i="63"/>
  <c r="N12" i="63"/>
  <c r="J16" i="45" s="1"/>
  <c r="M12" i="63"/>
  <c r="N11" i="63"/>
  <c r="M11" i="63"/>
  <c r="E15" i="45" s="1"/>
  <c r="N3" i="63"/>
  <c r="C34" i="62"/>
  <c r="E32" i="62"/>
  <c r="C32" i="62"/>
  <c r="C31" i="62"/>
  <c r="E30" i="62"/>
  <c r="C30" i="62"/>
  <c r="D14" i="47" s="1"/>
  <c r="E29" i="62"/>
  <c r="C29" i="62"/>
  <c r="C8" i="62"/>
  <c r="D22" i="40" s="1"/>
  <c r="C7" i="62"/>
  <c r="E5" i="34" s="1"/>
  <c r="D6" i="62"/>
  <c r="C6" i="62"/>
  <c r="E5" i="62"/>
  <c r="C5" i="62"/>
  <c r="D5" i="46" s="1"/>
  <c r="C4" i="62"/>
  <c r="E3" i="62"/>
  <c r="C3" i="62"/>
  <c r="C2" i="62"/>
  <c r="V202" i="61"/>
  <c r="N187" i="61"/>
  <c r="N182" i="61"/>
  <c r="N176" i="61"/>
  <c r="N165" i="61"/>
  <c r="N160" i="61"/>
  <c r="N154" i="61"/>
  <c r="R139" i="61"/>
  <c r="Q139" i="61"/>
  <c r="Q130" i="61"/>
  <c r="H129" i="61"/>
  <c r="H128" i="61"/>
  <c r="H127" i="61"/>
  <c r="Q121" i="61"/>
  <c r="Q118" i="61"/>
  <c r="H117" i="61"/>
  <c r="H116" i="61"/>
  <c r="H115" i="61"/>
  <c r="F109" i="61"/>
  <c r="AD103" i="61"/>
  <c r="AD97" i="61"/>
  <c r="AD92" i="61"/>
  <c r="F81" i="61"/>
  <c r="P72" i="61"/>
  <c r="D51" i="61"/>
  <c r="D50" i="61"/>
  <c r="D49" i="61"/>
  <c r="D47" i="61"/>
  <c r="D48" i="61" s="1"/>
  <c r="I29" i="61"/>
  <c r="I23" i="61"/>
  <c r="O19" i="61"/>
  <c r="M19" i="61" a="1"/>
  <c r="M19" i="61"/>
  <c r="F19" i="61"/>
  <c r="O14" i="61"/>
  <c r="M14" i="61" a="1"/>
  <c r="M14" i="61"/>
  <c r="F14" i="61"/>
  <c r="E14" i="61"/>
  <c r="G13" i="61"/>
  <c r="E13" i="61"/>
  <c r="F13" i="56"/>
  <c r="E7" i="56"/>
  <c r="F2" i="56"/>
  <c r="P10" i="55" a="1"/>
  <c r="P10" i="55" s="1"/>
  <c r="M10" i="55"/>
  <c r="L10" i="55"/>
  <c r="R10" i="55" s="1"/>
  <c r="K8" i="55"/>
  <c r="R2" i="55"/>
  <c r="P2" i="55" a="1"/>
  <c r="P2" i="55" s="1"/>
  <c r="M2" i="55"/>
  <c r="F2" i="55"/>
  <c r="P10" i="54" a="1"/>
  <c r="P10" i="54"/>
  <c r="M10" i="54"/>
  <c r="K8" i="54"/>
  <c r="J8" i="54"/>
  <c r="G8" i="54"/>
  <c r="F8" i="54"/>
  <c r="E5" i="54"/>
  <c r="R2" i="54"/>
  <c r="P2" i="54" a="1"/>
  <c r="P2" i="54" s="1"/>
  <c r="M2" i="54"/>
  <c r="F2" i="54"/>
  <c r="P9" i="53"/>
  <c r="N9" i="53" a="1"/>
  <c r="N9" i="53"/>
  <c r="J9" i="53"/>
  <c r="E5" i="53"/>
  <c r="P2" i="53"/>
  <c r="N2" i="53" a="1"/>
  <c r="N2" i="53" s="1"/>
  <c r="G24" i="52"/>
  <c r="E24" i="52"/>
  <c r="G12" i="52"/>
  <c r="F12" i="52"/>
  <c r="F10" i="54" s="1"/>
  <c r="E12" i="52"/>
  <c r="D6" i="52"/>
  <c r="D5" i="52"/>
  <c r="BA115" i="51"/>
  <c r="BA114" i="51"/>
  <c r="BA113" i="51"/>
  <c r="BA102" i="51"/>
  <c r="BA100" i="51"/>
  <c r="BA99" i="51"/>
  <c r="I53" i="51"/>
  <c r="H53" i="51"/>
  <c r="G53" i="51"/>
  <c r="J52" i="51"/>
  <c r="I52" i="51"/>
  <c r="I51" i="51"/>
  <c r="J50" i="51"/>
  <c r="I50" i="51"/>
  <c r="H50" i="51"/>
  <c r="G50" i="51"/>
  <c r="I49" i="51"/>
  <c r="H49" i="51"/>
  <c r="G49" i="51"/>
  <c r="I48" i="51"/>
  <c r="H48" i="51"/>
  <c r="G48" i="51"/>
  <c r="J47" i="51"/>
  <c r="I47" i="51"/>
  <c r="I45" i="51" s="1"/>
  <c r="H47" i="51"/>
  <c r="F32" i="51" s="1"/>
  <c r="G47" i="51"/>
  <c r="E32" i="51" s="1"/>
  <c r="I46" i="51"/>
  <c r="K45" i="51"/>
  <c r="J45" i="51"/>
  <c r="E5" i="2" s="1"/>
  <c r="G44" i="51"/>
  <c r="G52" i="51" s="1"/>
  <c r="G36" i="51"/>
  <c r="F36" i="51"/>
  <c r="J46" i="51" s="1"/>
  <c r="F29" i="51"/>
  <c r="L5" i="51"/>
  <c r="L4" i="51"/>
  <c r="L3" i="51"/>
  <c r="L6" i="51" s="1"/>
  <c r="K14" i="50"/>
  <c r="I14" i="50"/>
  <c r="G14" i="50"/>
  <c r="G11" i="50"/>
  <c r="G10" i="50"/>
  <c r="G9" i="50"/>
  <c r="D6" i="50"/>
  <c r="E13" i="49"/>
  <c r="H12" i="49"/>
  <c r="E12" i="49"/>
  <c r="E11" i="49"/>
  <c r="E10" i="49"/>
  <c r="D6" i="49"/>
  <c r="D5" i="49"/>
  <c r="M270" i="48"/>
  <c r="F269" i="48"/>
  <c r="M209" i="48"/>
  <c r="F208" i="48"/>
  <c r="F147" i="48"/>
  <c r="M87" i="48"/>
  <c r="F84" i="48"/>
  <c r="M24" i="48"/>
  <c r="F23" i="48"/>
  <c r="G17" i="48"/>
  <c r="F17" i="48"/>
  <c r="G16" i="48"/>
  <c r="F16" i="48"/>
  <c r="E14" i="48"/>
  <c r="N7" i="48"/>
  <c r="N4" i="48"/>
  <c r="N1" i="48"/>
  <c r="E42" i="47"/>
  <c r="E38" i="47"/>
  <c r="E32" i="47"/>
  <c r="E31" i="47"/>
  <c r="E28" i="47"/>
  <c r="E25" i="47"/>
  <c r="E24" i="47"/>
  <c r="D15" i="47"/>
  <c r="G17" i="46"/>
  <c r="E16" i="46"/>
  <c r="G14" i="46"/>
  <c r="E13" i="46"/>
  <c r="E12" i="46"/>
  <c r="D6" i="46"/>
  <c r="J21" i="45"/>
  <c r="F21" i="45"/>
  <c r="I19" i="45"/>
  <c r="H19" i="45"/>
  <c r="G19" i="45"/>
  <c r="F19" i="45"/>
  <c r="E19" i="45"/>
  <c r="J18" i="45"/>
  <c r="E18" i="45"/>
  <c r="J17" i="45"/>
  <c r="E17" i="45"/>
  <c r="E16" i="45"/>
  <c r="J15" i="45"/>
  <c r="I14" i="45"/>
  <c r="H14" i="45"/>
  <c r="G14" i="45"/>
  <c r="G11" i="45"/>
  <c r="G10" i="45"/>
  <c r="G9" i="45"/>
  <c r="D6" i="45"/>
  <c r="D5" i="45"/>
  <c r="F2" i="45"/>
  <c r="F6" i="44"/>
  <c r="F5" i="44"/>
  <c r="H57" i="43"/>
  <c r="H56" i="43"/>
  <c r="H55" i="43"/>
  <c r="I54" i="43"/>
  <c r="H54" i="43" s="1"/>
  <c r="H53" i="43"/>
  <c r="H52" i="43"/>
  <c r="H51" i="43"/>
  <c r="H50" i="43"/>
  <c r="I49" i="43"/>
  <c r="H47" i="43"/>
  <c r="H46" i="43"/>
  <c r="H45" i="43"/>
  <c r="I44" i="43"/>
  <c r="H44" i="43"/>
  <c r="H43" i="43"/>
  <c r="H42" i="43"/>
  <c r="H41" i="43"/>
  <c r="H40" i="43"/>
  <c r="I39" i="43"/>
  <c r="I38" i="43" s="1"/>
  <c r="H38" i="43" s="1"/>
  <c r="I36" i="43"/>
  <c r="H36" i="43" s="1"/>
  <c r="H35" i="43"/>
  <c r="H34" i="43"/>
  <c r="H33" i="43"/>
  <c r="I32" i="43"/>
  <c r="H32" i="43"/>
  <c r="H31" i="43"/>
  <c r="H30" i="43"/>
  <c r="H29" i="43"/>
  <c r="I28" i="43"/>
  <c r="H28" i="43"/>
  <c r="H27" i="43"/>
  <c r="H26" i="43"/>
  <c r="H25" i="43"/>
  <c r="H24" i="43"/>
  <c r="H23" i="43"/>
  <c r="H22" i="43"/>
  <c r="H21" i="43"/>
  <c r="H20" i="43"/>
  <c r="H19" i="43"/>
  <c r="H18" i="43"/>
  <c r="H17" i="43"/>
  <c r="H16" i="43"/>
  <c r="I15" i="43"/>
  <c r="H15" i="43"/>
  <c r="H11" i="43"/>
  <c r="F6" i="43"/>
  <c r="F5" i="43"/>
  <c r="F6" i="42"/>
  <c r="F5" i="42"/>
  <c r="H15" i="41"/>
  <c r="F6" i="41"/>
  <c r="F5" i="41"/>
  <c r="G28" i="40"/>
  <c r="G27" i="40"/>
  <c r="G26" i="40"/>
  <c r="D23" i="40"/>
  <c r="D14" i="40"/>
  <c r="D13" i="40"/>
  <c r="D11" i="40"/>
  <c r="D10" i="40"/>
  <c r="D9" i="40"/>
  <c r="D7" i="40"/>
  <c r="D6" i="40"/>
  <c r="D4" i="40"/>
  <c r="D3" i="40"/>
  <c r="L12" i="39"/>
  <c r="K12" i="39"/>
  <c r="J12" i="39"/>
  <c r="I12" i="39"/>
  <c r="H12" i="39"/>
  <c r="G12" i="39"/>
  <c r="G9" i="39"/>
  <c r="G8" i="39"/>
  <c r="G7" i="39"/>
  <c r="D4" i="39"/>
  <c r="E28" i="38"/>
  <c r="J27" i="38"/>
  <c r="J16" i="38" s="1"/>
  <c r="I27" i="38"/>
  <c r="H27" i="38"/>
  <c r="I16" i="38"/>
  <c r="H16" i="38"/>
  <c r="H12" i="38"/>
  <c r="H11" i="38"/>
  <c r="H10" i="38"/>
  <c r="E7" i="38"/>
  <c r="E33" i="37"/>
  <c r="J32" i="37"/>
  <c r="J16" i="37" s="1"/>
  <c r="I32" i="37"/>
  <c r="H32" i="37"/>
  <c r="H16" i="37" s="1"/>
  <c r="I16" i="37"/>
  <c r="H12" i="37"/>
  <c r="H11" i="37"/>
  <c r="H10" i="37"/>
  <c r="E7" i="37"/>
  <c r="I6" i="36"/>
  <c r="F2" i="36"/>
  <c r="E2" i="36"/>
  <c r="L12" i="35"/>
  <c r="L11" i="35"/>
  <c r="L10" i="35"/>
  <c r="I7" i="35"/>
  <c r="N3" i="35"/>
  <c r="L3" i="35"/>
  <c r="F2" i="35"/>
  <c r="E2" i="35"/>
  <c r="Q26" i="34"/>
  <c r="V20" i="34"/>
  <c r="Q20" i="34"/>
  <c r="V17" i="34"/>
  <c r="Q17" i="34"/>
  <c r="E6" i="34"/>
  <c r="E130" i="33"/>
  <c r="K129" i="33"/>
  <c r="E129" i="33"/>
  <c r="F128" i="33"/>
  <c r="K127" i="33"/>
  <c r="F127" i="33"/>
  <c r="E127" i="33"/>
  <c r="E126" i="33"/>
  <c r="E123" i="33"/>
  <c r="E124" i="33" s="1"/>
  <c r="E120" i="33"/>
  <c r="E121" i="33" s="1"/>
  <c r="K117" i="33"/>
  <c r="F117" i="33"/>
  <c r="E116" i="33"/>
  <c r="K115" i="33"/>
  <c r="F115" i="33"/>
  <c r="F114" i="33"/>
  <c r="E114" i="33"/>
  <c r="K113" i="33"/>
  <c r="E113" i="33"/>
  <c r="K112" i="33"/>
  <c r="K111" i="33"/>
  <c r="F111" i="33"/>
  <c r="K110" i="33"/>
  <c r="E110" i="33"/>
  <c r="F109" i="33"/>
  <c r="E109" i="33"/>
  <c r="K108" i="33"/>
  <c r="K107" i="33"/>
  <c r="F107" i="33"/>
  <c r="F106" i="33"/>
  <c r="E106" i="33"/>
  <c r="E105" i="33"/>
  <c r="E104" i="33"/>
  <c r="K103" i="33"/>
  <c r="K102" i="33"/>
  <c r="F102" i="33"/>
  <c r="E102" i="33"/>
  <c r="F99" i="33"/>
  <c r="E98" i="33"/>
  <c r="K97" i="33"/>
  <c r="K96" i="33"/>
  <c r="K95" i="33"/>
  <c r="F94" i="33"/>
  <c r="E94" i="33"/>
  <c r="K93" i="33"/>
  <c r="K92" i="33"/>
  <c r="E92" i="33"/>
  <c r="K91" i="33"/>
  <c r="F91" i="33"/>
  <c r="E91" i="33"/>
  <c r="E90" i="33"/>
  <c r="F89" i="33"/>
  <c r="E89" i="33"/>
  <c r="E88" i="33"/>
  <c r="K87" i="33"/>
  <c r="J87" i="33"/>
  <c r="I87" i="33"/>
  <c r="H87" i="33"/>
  <c r="E87" i="33"/>
  <c r="K85" i="33"/>
  <c r="F85" i="33"/>
  <c r="F84" i="33"/>
  <c r="F83" i="33"/>
  <c r="E82" i="33"/>
  <c r="K81" i="33"/>
  <c r="F81" i="33"/>
  <c r="K80" i="33"/>
  <c r="F80" i="33"/>
  <c r="E79" i="33"/>
  <c r="K78" i="33"/>
  <c r="K77" i="33"/>
  <c r="K76" i="33"/>
  <c r="E76" i="33"/>
  <c r="K75" i="33"/>
  <c r="F75" i="33"/>
  <c r="E75" i="33"/>
  <c r="K74" i="33"/>
  <c r="K73" i="33"/>
  <c r="F72" i="33"/>
  <c r="E72" i="33"/>
  <c r="L69" i="33"/>
  <c r="J69" i="33"/>
  <c r="I69" i="33"/>
  <c r="H69" i="33"/>
  <c r="E69" i="33"/>
  <c r="E70" i="33" s="1"/>
  <c r="L70" i="33" s="1"/>
  <c r="L68" i="33"/>
  <c r="K68" i="33"/>
  <c r="M68" i="33" s="1"/>
  <c r="K67" i="33"/>
  <c r="M66" i="33"/>
  <c r="L66" i="33"/>
  <c r="E66" i="33"/>
  <c r="F65" i="33"/>
  <c r="F64" i="33"/>
  <c r="E64" i="33"/>
  <c r="L64" i="33" s="1"/>
  <c r="L63" i="33"/>
  <c r="E63" i="33"/>
  <c r="E62" i="33"/>
  <c r="L62" i="33" s="1"/>
  <c r="F60" i="33"/>
  <c r="F59" i="33"/>
  <c r="E59" i="33"/>
  <c r="L59" i="33" s="1"/>
  <c r="E58" i="33"/>
  <c r="L58" i="33" s="1"/>
  <c r="E57" i="33"/>
  <c r="L57" i="33" s="1"/>
  <c r="F55" i="33"/>
  <c r="K54" i="33"/>
  <c r="F54" i="33"/>
  <c r="E54" i="33"/>
  <c r="L54" i="33" s="1"/>
  <c r="L51" i="33"/>
  <c r="K51" i="33"/>
  <c r="E51" i="33"/>
  <c r="F50" i="33"/>
  <c r="F49" i="33"/>
  <c r="E49" i="33"/>
  <c r="L49" i="33" s="1"/>
  <c r="L48" i="33"/>
  <c r="E48" i="33"/>
  <c r="E47" i="33"/>
  <c r="L47" i="33" s="1"/>
  <c r="L46" i="33"/>
  <c r="E46" i="33"/>
  <c r="F45" i="33"/>
  <c r="K44" i="33"/>
  <c r="F44" i="33"/>
  <c r="E44" i="33"/>
  <c r="L44" i="33" s="1"/>
  <c r="F43" i="33"/>
  <c r="E43" i="33"/>
  <c r="L43" i="33" s="1"/>
  <c r="E42" i="33"/>
  <c r="L42" i="33" s="1"/>
  <c r="L41" i="33"/>
  <c r="E41" i="33"/>
  <c r="L40" i="33"/>
  <c r="L39" i="33"/>
  <c r="L38" i="33"/>
  <c r="L37" i="33"/>
  <c r="L36" i="33"/>
  <c r="L35" i="33"/>
  <c r="L34" i="33"/>
  <c r="B34" i="33"/>
  <c r="L33" i="33"/>
  <c r="J33" i="33"/>
  <c r="I33" i="33"/>
  <c r="H33" i="33"/>
  <c r="E33" i="33"/>
  <c r="L32" i="33"/>
  <c r="K32" i="33"/>
  <c r="K31" i="33"/>
  <c r="F30" i="33"/>
  <c r="E30" i="33"/>
  <c r="H27" i="33"/>
  <c r="H26" i="33"/>
  <c r="H25" i="33"/>
  <c r="E22" i="33"/>
  <c r="E21" i="33"/>
  <c r="E7" i="33"/>
  <c r="E6" i="33"/>
  <c r="E5" i="33"/>
  <c r="E4" i="33"/>
  <c r="J3" i="33"/>
  <c r="I3" i="33"/>
  <c r="H3" i="33"/>
  <c r="E2" i="33"/>
  <c r="BF63" i="32"/>
  <c r="BF62" i="32"/>
  <c r="BF61" i="32"/>
  <c r="BF60" i="32"/>
  <c r="BF59" i="32"/>
  <c r="BF58" i="32"/>
  <c r="BF57" i="32"/>
  <c r="BF56" i="32"/>
  <c r="BB56" i="32"/>
  <c r="AW56" i="32"/>
  <c r="AU56" i="32"/>
  <c r="Y56" i="32"/>
  <c r="W56" i="32"/>
  <c r="BF52" i="32"/>
  <c r="BF51" i="32"/>
  <c r="J51" i="32"/>
  <c r="BF50" i="32"/>
  <c r="I50" i="32"/>
  <c r="BF49" i="32"/>
  <c r="BF48" i="32"/>
  <c r="BF47" i="32"/>
  <c r="BF46" i="32"/>
  <c r="BC46" i="32"/>
  <c r="AW45" i="32"/>
  <c r="AX45" i="32" s="1"/>
  <c r="AY45" i="32" s="1"/>
  <c r="BA45" i="32" s="1"/>
  <c r="BB45" i="32" s="1"/>
  <c r="BC45" i="32" s="1"/>
  <c r="U45" i="32"/>
  <c r="V45" i="32" s="1"/>
  <c r="W45" i="32" s="1"/>
  <c r="X45" i="32" s="1"/>
  <c r="Y45" i="32" s="1"/>
  <c r="Z45" i="32" s="1"/>
  <c r="AA45" i="32" s="1"/>
  <c r="AC45" i="32" s="1"/>
  <c r="AD45" i="32" s="1"/>
  <c r="AD37" i="32"/>
  <c r="V37" i="32"/>
  <c r="AD36" i="32"/>
  <c r="V36" i="32"/>
  <c r="AD34" i="32"/>
  <c r="V34" i="32"/>
  <c r="AD33" i="32"/>
  <c r="V33" i="32"/>
  <c r="AD32" i="32"/>
  <c r="V32" i="32"/>
  <c r="AD31" i="32"/>
  <c r="V31" i="32"/>
  <c r="S29" i="32"/>
  <c r="S28" i="32"/>
  <c r="BF18" i="32"/>
  <c r="BF17" i="32"/>
  <c r="BF16" i="32"/>
  <c r="BF15" i="32"/>
  <c r="BF14" i="32"/>
  <c r="BF13" i="32"/>
  <c r="BF12" i="32"/>
  <c r="BB12" i="32"/>
  <c r="AW12" i="32"/>
  <c r="AU12" i="32"/>
  <c r="Y12" i="32"/>
  <c r="W12" i="32"/>
  <c r="BF8" i="32"/>
  <c r="S8" i="32"/>
  <c r="K8" i="32"/>
  <c r="BF7" i="32"/>
  <c r="J7" i="32"/>
  <c r="BF6" i="32"/>
  <c r="I6" i="32"/>
  <c r="BF5" i="32"/>
  <c r="BF4" i="32"/>
  <c r="AD4" i="32"/>
  <c r="S4" i="32"/>
  <c r="BF3" i="32"/>
  <c r="AD3" i="32"/>
  <c r="S3" i="32"/>
  <c r="BF2" i="32"/>
  <c r="BC2" i="32"/>
  <c r="AD2" i="32"/>
  <c r="S2" i="32"/>
  <c r="AV54" i="31"/>
  <c r="AV53" i="31"/>
  <c r="AV52" i="31"/>
  <c r="AV51" i="31"/>
  <c r="AV50" i="31"/>
  <c r="AV49" i="31"/>
  <c r="AV48" i="31"/>
  <c r="AM48" i="31"/>
  <c r="AB48" i="31"/>
  <c r="AV47" i="31"/>
  <c r="AT47" i="31"/>
  <c r="AS47" i="31"/>
  <c r="AV46" i="31"/>
  <c r="AV45" i="31"/>
  <c r="AV44" i="31"/>
  <c r="AV43" i="31"/>
  <c r="AV42" i="31"/>
  <c r="AS42" i="31"/>
  <c r="AM41" i="31"/>
  <c r="AN41" i="31" s="1"/>
  <c r="AO41" i="31" s="1"/>
  <c r="AQ41" i="31" s="1"/>
  <c r="AR41" i="31" s="1"/>
  <c r="AS41" i="31" s="1"/>
  <c r="AB41" i="31"/>
  <c r="AC41" i="31" s="1"/>
  <c r="AD41" i="31" s="1"/>
  <c r="AF41" i="31" s="1"/>
  <c r="AG41" i="31" s="1"/>
  <c r="U41" i="31"/>
  <c r="V41" i="31" s="1"/>
  <c r="AG33" i="31"/>
  <c r="V33" i="31"/>
  <c r="AG32" i="31"/>
  <c r="V32" i="31"/>
  <c r="AG30" i="31"/>
  <c r="V30" i="31"/>
  <c r="AG29" i="31"/>
  <c r="V29" i="31"/>
  <c r="AG28" i="31"/>
  <c r="V28" i="31"/>
  <c r="AG27" i="31"/>
  <c r="V27" i="31"/>
  <c r="S25" i="31"/>
  <c r="S24" i="31"/>
  <c r="AM16" i="31"/>
  <c r="AV13" i="31"/>
  <c r="AV12" i="31"/>
  <c r="AV11" i="31"/>
  <c r="AV10" i="31"/>
  <c r="AV9" i="31"/>
  <c r="AV8" i="31"/>
  <c r="AM8" i="31"/>
  <c r="AB8" i="31"/>
  <c r="AV7" i="31"/>
  <c r="AT7" i="31"/>
  <c r="AS7" i="31"/>
  <c r="S7" i="31"/>
  <c r="K7" i="31"/>
  <c r="AV6" i="31"/>
  <c r="J6" i="31"/>
  <c r="S6" i="31" s="1"/>
  <c r="AV5" i="31"/>
  <c r="S5" i="31"/>
  <c r="AV4" i="31"/>
  <c r="AG4" i="31"/>
  <c r="S4" i="31"/>
  <c r="I5" i="31" s="1"/>
  <c r="AV3" i="31"/>
  <c r="AG3" i="31"/>
  <c r="S3" i="31"/>
  <c r="AV2" i="31"/>
  <c r="AS2" i="31"/>
  <c r="AG2" i="31"/>
  <c r="S2" i="31"/>
  <c r="AV54" i="30"/>
  <c r="AV53" i="30"/>
  <c r="AV52" i="30"/>
  <c r="AV51" i="30"/>
  <c r="AV50" i="30"/>
  <c r="AV49" i="30"/>
  <c r="AV48" i="30"/>
  <c r="AV47" i="30"/>
  <c r="AT47" i="30"/>
  <c r="AS47" i="30"/>
  <c r="AV46" i="30"/>
  <c r="AV45" i="30"/>
  <c r="AV44" i="30"/>
  <c r="AV43" i="30"/>
  <c r="AV42" i="30"/>
  <c r="AS42" i="30"/>
  <c r="AM41" i="30"/>
  <c r="AN41" i="30" s="1"/>
  <c r="AO41" i="30" s="1"/>
  <c r="AQ41" i="30" s="1"/>
  <c r="AR41" i="30" s="1"/>
  <c r="AS41" i="30" s="1"/>
  <c r="AC41" i="30"/>
  <c r="AD41" i="30" s="1"/>
  <c r="AF41" i="30" s="1"/>
  <c r="AG41" i="30" s="1"/>
  <c r="U41" i="30"/>
  <c r="V41" i="30" s="1"/>
  <c r="AG33" i="30"/>
  <c r="V33" i="30"/>
  <c r="AG32" i="30"/>
  <c r="V32" i="30"/>
  <c r="AG30" i="30"/>
  <c r="V30" i="30"/>
  <c r="AG29" i="30"/>
  <c r="V29" i="30"/>
  <c r="AG28" i="30"/>
  <c r="V28" i="30"/>
  <c r="AG27" i="30"/>
  <c r="V27" i="30"/>
  <c r="S25" i="30"/>
  <c r="S24" i="30"/>
  <c r="AV13" i="30"/>
  <c r="AV12" i="30"/>
  <c r="AV11" i="30"/>
  <c r="AV10" i="30"/>
  <c r="AV9" i="30"/>
  <c r="AV8" i="30"/>
  <c r="AV7" i="30"/>
  <c r="AT7" i="30"/>
  <c r="AS7" i="30"/>
  <c r="K7" i="30"/>
  <c r="S7" i="30" s="1"/>
  <c r="AV6" i="30"/>
  <c r="J6" i="30"/>
  <c r="S6" i="30" s="1"/>
  <c r="AV5" i="30"/>
  <c r="I5" i="30"/>
  <c r="S5" i="30" s="1"/>
  <c r="AV4" i="30"/>
  <c r="AG4" i="30"/>
  <c r="S4" i="30"/>
  <c r="AV3" i="30"/>
  <c r="AG3" i="30"/>
  <c r="S3" i="30"/>
  <c r="AV2" i="30"/>
  <c r="AS2" i="30"/>
  <c r="AG2" i="30"/>
  <c r="S2" i="30"/>
  <c r="BF63" i="29"/>
  <c r="BF62" i="29"/>
  <c r="BF61" i="29"/>
  <c r="BF60" i="29"/>
  <c r="BF59" i="29"/>
  <c r="BF58" i="29"/>
  <c r="BF57" i="29"/>
  <c r="BF56" i="29"/>
  <c r="BB56" i="29"/>
  <c r="AW56" i="29"/>
  <c r="AU56" i="29"/>
  <c r="Y56" i="29"/>
  <c r="W56" i="29"/>
  <c r="BF52" i="29"/>
  <c r="BF51" i="29"/>
  <c r="J51" i="29"/>
  <c r="BF50" i="29"/>
  <c r="I50" i="29"/>
  <c r="BF49" i="29"/>
  <c r="BF48" i="29"/>
  <c r="AD48" i="29"/>
  <c r="BF47" i="29"/>
  <c r="BF46" i="29"/>
  <c r="BC46" i="29"/>
  <c r="AW45" i="29"/>
  <c r="AX45" i="29" s="1"/>
  <c r="AY45" i="29" s="1"/>
  <c r="BA45" i="29" s="1"/>
  <c r="BB45" i="29" s="1"/>
  <c r="BC45" i="29" s="1"/>
  <c r="U45" i="29"/>
  <c r="V45" i="29" s="1"/>
  <c r="W45" i="29" s="1"/>
  <c r="X45" i="29" s="1"/>
  <c r="Y45" i="29" s="1"/>
  <c r="Z45" i="29" s="1"/>
  <c r="AA45" i="29" s="1"/>
  <c r="AC45" i="29" s="1"/>
  <c r="AD45" i="29" s="1"/>
  <c r="AD37" i="29"/>
  <c r="V37" i="29"/>
  <c r="AD36" i="29"/>
  <c r="V36" i="29"/>
  <c r="AD34" i="29"/>
  <c r="V34" i="29"/>
  <c r="AD33" i="29"/>
  <c r="V33" i="29"/>
  <c r="AD32" i="29"/>
  <c r="V32" i="29"/>
  <c r="AD31" i="29"/>
  <c r="V31" i="29"/>
  <c r="S29" i="29"/>
  <c r="S28" i="29"/>
  <c r="BF18" i="29"/>
  <c r="BF17" i="29"/>
  <c r="BF16" i="29"/>
  <c r="BF15" i="29"/>
  <c r="BF14" i="29"/>
  <c r="BF13" i="29"/>
  <c r="BF12" i="29"/>
  <c r="BB12" i="29"/>
  <c r="AW12" i="29"/>
  <c r="AU12" i="29"/>
  <c r="Y12" i="29"/>
  <c r="W12" i="29"/>
  <c r="BF8" i="29"/>
  <c r="BF7" i="29"/>
  <c r="J7" i="29"/>
  <c r="BF6" i="29"/>
  <c r="I6" i="29"/>
  <c r="BF5" i="29"/>
  <c r="BF4" i="29"/>
  <c r="AD4" i="29"/>
  <c r="S4" i="29"/>
  <c r="K8" i="29" s="1"/>
  <c r="S8" i="29" s="1"/>
  <c r="BF3" i="29"/>
  <c r="AD3" i="29"/>
  <c r="S3" i="29"/>
  <c r="BF2" i="29"/>
  <c r="BC2" i="29"/>
  <c r="AD2" i="29"/>
  <c r="S2" i="29"/>
  <c r="AN53" i="28"/>
  <c r="AN52" i="28"/>
  <c r="AN51" i="28"/>
  <c r="AN50" i="28"/>
  <c r="AN49" i="28"/>
  <c r="AN48" i="28"/>
  <c r="AN47" i="28"/>
  <c r="AE47" i="28"/>
  <c r="X47" i="28"/>
  <c r="AN46" i="28"/>
  <c r="AL46" i="28"/>
  <c r="AK46" i="28"/>
  <c r="AN45" i="28"/>
  <c r="J45" i="28"/>
  <c r="K46" i="28" s="1"/>
  <c r="S46" i="28" s="1"/>
  <c r="AN44" i="28"/>
  <c r="AN43" i="28"/>
  <c r="AN42" i="28"/>
  <c r="AN41" i="28"/>
  <c r="AK41" i="28"/>
  <c r="U40" i="28"/>
  <c r="V40" i="28" s="1"/>
  <c r="W40" i="28" s="1"/>
  <c r="X40" i="28" s="1"/>
  <c r="Y40" i="28" s="1"/>
  <c r="Z40" i="28" s="1"/>
  <c r="AB40" i="28" s="1"/>
  <c r="AC40" i="28" s="1"/>
  <c r="AD40" i="28" s="1"/>
  <c r="AE40" i="28" s="1"/>
  <c r="AF40" i="28" s="1"/>
  <c r="AG40" i="28" s="1"/>
  <c r="AI40" i="28" s="1"/>
  <c r="AJ40" i="28" s="1"/>
  <c r="AK40" i="28" s="1"/>
  <c r="AC33" i="28"/>
  <c r="V33" i="28"/>
  <c r="AC32" i="28"/>
  <c r="V32" i="28"/>
  <c r="AC30" i="28"/>
  <c r="V30" i="28"/>
  <c r="AC29" i="28"/>
  <c r="V29" i="28"/>
  <c r="AC28" i="28"/>
  <c r="V28" i="28"/>
  <c r="AC27" i="28"/>
  <c r="V27" i="28"/>
  <c r="S25" i="28"/>
  <c r="S24" i="28"/>
  <c r="AE16" i="28"/>
  <c r="AN13" i="28"/>
  <c r="AN12" i="28"/>
  <c r="AN11" i="28"/>
  <c r="AN10" i="28"/>
  <c r="AN9" i="28"/>
  <c r="AN8" i="28"/>
  <c r="AE8" i="28"/>
  <c r="X8" i="28"/>
  <c r="AN7" i="28"/>
  <c r="AL7" i="28"/>
  <c r="AK7" i="28"/>
  <c r="AN6" i="28"/>
  <c r="J6" i="28"/>
  <c r="S6" i="28" s="1"/>
  <c r="AN5" i="28"/>
  <c r="AN4" i="28"/>
  <c r="AC4" i="28"/>
  <c r="S4" i="28"/>
  <c r="I5" i="28" s="1"/>
  <c r="S5" i="28" s="1"/>
  <c r="AN3" i="28"/>
  <c r="AC3" i="28"/>
  <c r="S3" i="28"/>
  <c r="AN2" i="28"/>
  <c r="AK2" i="28"/>
  <c r="AC2" i="28"/>
  <c r="S2" i="28"/>
  <c r="AN53" i="27"/>
  <c r="AN52" i="27"/>
  <c r="AN51" i="27"/>
  <c r="AN50" i="27"/>
  <c r="AN49" i="27"/>
  <c r="AN48" i="27"/>
  <c r="AN47" i="27"/>
  <c r="AE47" i="27"/>
  <c r="X47" i="27"/>
  <c r="AN46" i="27"/>
  <c r="AL46" i="27"/>
  <c r="AK46" i="27"/>
  <c r="AN45" i="27"/>
  <c r="AN44" i="27"/>
  <c r="AN43" i="27"/>
  <c r="AC43" i="27"/>
  <c r="AN42" i="27"/>
  <c r="AN41" i="27"/>
  <c r="AK41" i="27"/>
  <c r="U40" i="27"/>
  <c r="V40" i="27" s="1"/>
  <c r="W40" i="27" s="1"/>
  <c r="X40" i="27" s="1"/>
  <c r="Y40" i="27" s="1"/>
  <c r="Z40" i="27" s="1"/>
  <c r="AB40" i="27" s="1"/>
  <c r="AC40" i="27" s="1"/>
  <c r="AD40" i="27" s="1"/>
  <c r="AE40" i="27" s="1"/>
  <c r="AF40" i="27" s="1"/>
  <c r="AG40" i="27" s="1"/>
  <c r="AI40" i="27" s="1"/>
  <c r="AJ40" i="27" s="1"/>
  <c r="AK40" i="27" s="1"/>
  <c r="AC33" i="27"/>
  <c r="V33" i="27"/>
  <c r="AC32" i="27"/>
  <c r="V32" i="27"/>
  <c r="AC30" i="27"/>
  <c r="V30" i="27"/>
  <c r="AC29" i="27"/>
  <c r="V29" i="27"/>
  <c r="AC28" i="27"/>
  <c r="V28" i="27"/>
  <c r="AC27" i="27"/>
  <c r="V27" i="27"/>
  <c r="S25" i="27"/>
  <c r="S24" i="27"/>
  <c r="AE16" i="27"/>
  <c r="AN13" i="27"/>
  <c r="AN12" i="27"/>
  <c r="AN11" i="27"/>
  <c r="AN10" i="27"/>
  <c r="AN9" i="27"/>
  <c r="AN8" i="27"/>
  <c r="AE8" i="27"/>
  <c r="X8" i="27"/>
  <c r="AN7" i="27"/>
  <c r="AL7" i="27"/>
  <c r="AK7" i="27"/>
  <c r="AN6" i="27"/>
  <c r="AN5" i="27"/>
  <c r="S5" i="27"/>
  <c r="I5" i="27"/>
  <c r="J6" i="27" s="1"/>
  <c r="AN4" i="27"/>
  <c r="AC4" i="27"/>
  <c r="S4" i="27"/>
  <c r="AN3" i="27"/>
  <c r="AC3" i="27"/>
  <c r="S3" i="27"/>
  <c r="AN2" i="27"/>
  <c r="AK2" i="27"/>
  <c r="AC2" i="27"/>
  <c r="S2" i="27"/>
  <c r="BF63" i="26"/>
  <c r="BF62" i="26"/>
  <c r="BF61" i="26"/>
  <c r="BF60" i="26"/>
  <c r="BF59" i="26"/>
  <c r="BF58" i="26"/>
  <c r="BF57" i="26"/>
  <c r="BF56" i="26"/>
  <c r="BB56" i="26"/>
  <c r="AW56" i="26"/>
  <c r="AU56" i="26"/>
  <c r="Y56" i="26"/>
  <c r="W56" i="26"/>
  <c r="BF52" i="26"/>
  <c r="BF51" i="26"/>
  <c r="J51" i="26"/>
  <c r="BF50" i="26"/>
  <c r="I50" i="26"/>
  <c r="BF49" i="26"/>
  <c r="BF48" i="26"/>
  <c r="AD48" i="26"/>
  <c r="BF47" i="26"/>
  <c r="BF46" i="26"/>
  <c r="BC46" i="26"/>
  <c r="AW45" i="26"/>
  <c r="AX45" i="26" s="1"/>
  <c r="AY45" i="26" s="1"/>
  <c r="BA45" i="26" s="1"/>
  <c r="BB45" i="26" s="1"/>
  <c r="BC45" i="26" s="1"/>
  <c r="U45" i="26"/>
  <c r="V45" i="26" s="1"/>
  <c r="W45" i="26" s="1"/>
  <c r="X45" i="26" s="1"/>
  <c r="Y45" i="26" s="1"/>
  <c r="Z45" i="26" s="1"/>
  <c r="AA45" i="26" s="1"/>
  <c r="AC45" i="26" s="1"/>
  <c r="AD45" i="26" s="1"/>
  <c r="AD37" i="26"/>
  <c r="V37" i="26"/>
  <c r="AD36" i="26"/>
  <c r="V36" i="26"/>
  <c r="AD34" i="26"/>
  <c r="V34" i="26"/>
  <c r="AD33" i="26"/>
  <c r="V33" i="26"/>
  <c r="AD32" i="26"/>
  <c r="V32" i="26"/>
  <c r="AD31" i="26"/>
  <c r="V31" i="26"/>
  <c r="S29" i="26"/>
  <c r="S28" i="26"/>
  <c r="BF18" i="26"/>
  <c r="BF17" i="26"/>
  <c r="BF16" i="26"/>
  <c r="BF15" i="26"/>
  <c r="BF14" i="26"/>
  <c r="BF13" i="26"/>
  <c r="BF12" i="26"/>
  <c r="BB12" i="26"/>
  <c r="AW12" i="26"/>
  <c r="AU12" i="26"/>
  <c r="Y12" i="26"/>
  <c r="W12" i="26"/>
  <c r="BF8" i="26"/>
  <c r="BF7" i="26"/>
  <c r="J7" i="26"/>
  <c r="BF6" i="26"/>
  <c r="I6" i="26"/>
  <c r="BF5" i="26"/>
  <c r="BF4" i="26"/>
  <c r="AD4" i="26"/>
  <c r="S4" i="26"/>
  <c r="K8" i="26" s="1"/>
  <c r="S8" i="26" s="1"/>
  <c r="BF3" i="26"/>
  <c r="AD3" i="26"/>
  <c r="S3" i="26"/>
  <c r="BF2" i="26"/>
  <c r="BC2" i="26"/>
  <c r="AD2" i="26"/>
  <c r="S2" i="26"/>
  <c r="AN56" i="25"/>
  <c r="AN55" i="25"/>
  <c r="AN54" i="25"/>
  <c r="AN53" i="25"/>
  <c r="AN52" i="25"/>
  <c r="AN51" i="25"/>
  <c r="AN50" i="25"/>
  <c r="AN49" i="25"/>
  <c r="AN48" i="25"/>
  <c r="AL48" i="25"/>
  <c r="AN47" i="25"/>
  <c r="AN46" i="25"/>
  <c r="AN45" i="25"/>
  <c r="AC45" i="25"/>
  <c r="AN44" i="25"/>
  <c r="AN43" i="25"/>
  <c r="AN42" i="25"/>
  <c r="AK42" i="25"/>
  <c r="AD41" i="25"/>
  <c r="AE41" i="25" s="1"/>
  <c r="AF41" i="25" s="1"/>
  <c r="AG41" i="25" s="1"/>
  <c r="AI41" i="25" s="1"/>
  <c r="AJ41" i="25" s="1"/>
  <c r="AK41" i="25" s="1"/>
  <c r="U41" i="25"/>
  <c r="V41" i="25" s="1"/>
  <c r="W41" i="25" s="1"/>
  <c r="X41" i="25" s="1"/>
  <c r="Y41" i="25" s="1"/>
  <c r="AA41" i="25" s="1"/>
  <c r="V39" i="25"/>
  <c r="V33" i="25"/>
  <c r="V32" i="25"/>
  <c r="V30" i="25"/>
  <c r="V29" i="25"/>
  <c r="V28" i="25"/>
  <c r="V27" i="25"/>
  <c r="S25" i="25"/>
  <c r="S24" i="25"/>
  <c r="AN14" i="25"/>
  <c r="AN13" i="25"/>
  <c r="AN12" i="25"/>
  <c r="AN11" i="25"/>
  <c r="AN10" i="25"/>
  <c r="AN9" i="25"/>
  <c r="AN8" i="25"/>
  <c r="AL8" i="25"/>
  <c r="AN7" i="25"/>
  <c r="AN6" i="25"/>
  <c r="AN5" i="25"/>
  <c r="AC5" i="25"/>
  <c r="S5" i="25"/>
  <c r="K8" i="25" s="1"/>
  <c r="S8" i="25" s="1"/>
  <c r="AN4" i="25"/>
  <c r="AC4" i="25"/>
  <c r="S4" i="25"/>
  <c r="AN3" i="25"/>
  <c r="AC3" i="25"/>
  <c r="S3" i="25"/>
  <c r="AN2" i="25"/>
  <c r="AC2" i="25"/>
  <c r="S2" i="25"/>
  <c r="AN53" i="24"/>
  <c r="AN52" i="24"/>
  <c r="AN51" i="24"/>
  <c r="AN50" i="24"/>
  <c r="AN49" i="24"/>
  <c r="AN48" i="24"/>
  <c r="AN47" i="24"/>
  <c r="AE47" i="24"/>
  <c r="X47" i="24"/>
  <c r="AN46" i="24"/>
  <c r="AL46" i="24"/>
  <c r="AK46" i="24"/>
  <c r="AN45" i="24"/>
  <c r="AN44" i="24"/>
  <c r="AN43" i="24"/>
  <c r="AN42" i="24"/>
  <c r="AN41" i="24"/>
  <c r="AK41" i="24"/>
  <c r="U40" i="24"/>
  <c r="V40" i="24" s="1"/>
  <c r="W40" i="24" s="1"/>
  <c r="X40" i="24" s="1"/>
  <c r="Y40" i="24" s="1"/>
  <c r="Z40" i="24" s="1"/>
  <c r="AB40" i="24" s="1"/>
  <c r="AC40" i="24" s="1"/>
  <c r="AD40" i="24" s="1"/>
  <c r="AE40" i="24" s="1"/>
  <c r="AF40" i="24" s="1"/>
  <c r="AG40" i="24" s="1"/>
  <c r="AI40" i="24" s="1"/>
  <c r="AJ40" i="24" s="1"/>
  <c r="AK40" i="24" s="1"/>
  <c r="AC33" i="24"/>
  <c r="V33" i="24"/>
  <c r="AC32" i="24"/>
  <c r="V32" i="24"/>
  <c r="AC30" i="24"/>
  <c r="V30" i="24"/>
  <c r="AC29" i="24"/>
  <c r="V29" i="24"/>
  <c r="AC28" i="24"/>
  <c r="V28" i="24"/>
  <c r="AC27" i="24"/>
  <c r="V27" i="24"/>
  <c r="S25" i="24"/>
  <c r="S24" i="24"/>
  <c r="AE16" i="24"/>
  <c r="AN13" i="24"/>
  <c r="AN12" i="24"/>
  <c r="AN11" i="24"/>
  <c r="AN10" i="24"/>
  <c r="AN9" i="24"/>
  <c r="AN8" i="24"/>
  <c r="AE8" i="24"/>
  <c r="X8" i="24"/>
  <c r="AN7" i="24"/>
  <c r="AL7" i="24"/>
  <c r="AK7" i="24"/>
  <c r="AN6" i="24"/>
  <c r="AN5" i="24"/>
  <c r="AN4" i="24"/>
  <c r="AC4" i="24"/>
  <c r="S4" i="24"/>
  <c r="I5" i="24" s="1"/>
  <c r="S5" i="24" s="1"/>
  <c r="AN3" i="24"/>
  <c r="AC3" i="24"/>
  <c r="S3" i="24"/>
  <c r="AN2" i="24"/>
  <c r="AK2" i="24"/>
  <c r="AC2" i="24"/>
  <c r="S2" i="24"/>
  <c r="AN53" i="23"/>
  <c r="AN52" i="23"/>
  <c r="AN51" i="23"/>
  <c r="AN50" i="23"/>
  <c r="AN49" i="23"/>
  <c r="AN48" i="23"/>
  <c r="AN47" i="23"/>
  <c r="AE47" i="23"/>
  <c r="X47" i="23"/>
  <c r="AN46" i="23"/>
  <c r="AL46" i="23"/>
  <c r="AK46" i="23"/>
  <c r="AN45" i="23"/>
  <c r="AN44" i="23"/>
  <c r="AN43" i="23"/>
  <c r="AC43" i="23"/>
  <c r="AN42" i="23"/>
  <c r="AN41" i="23"/>
  <c r="AK41" i="23"/>
  <c r="U40" i="23"/>
  <c r="V40" i="23" s="1"/>
  <c r="W40" i="23" s="1"/>
  <c r="X40" i="23" s="1"/>
  <c r="Y40" i="23" s="1"/>
  <c r="Z40" i="23" s="1"/>
  <c r="AB40" i="23" s="1"/>
  <c r="AC40" i="23" s="1"/>
  <c r="AD40" i="23" s="1"/>
  <c r="AE40" i="23" s="1"/>
  <c r="AF40" i="23" s="1"/>
  <c r="AG40" i="23" s="1"/>
  <c r="AI40" i="23" s="1"/>
  <c r="AJ40" i="23" s="1"/>
  <c r="AK40" i="23" s="1"/>
  <c r="AC33" i="23"/>
  <c r="V33" i="23"/>
  <c r="AC32" i="23"/>
  <c r="V32" i="23"/>
  <c r="AC30" i="23"/>
  <c r="V30" i="23"/>
  <c r="AC29" i="23"/>
  <c r="V29" i="23"/>
  <c r="AC28" i="23"/>
  <c r="V28" i="23"/>
  <c r="AC27" i="23"/>
  <c r="V27" i="23"/>
  <c r="S25" i="23"/>
  <c r="S24" i="23"/>
  <c r="AE16" i="23"/>
  <c r="AN13" i="23"/>
  <c r="AN12" i="23"/>
  <c r="AN11" i="23"/>
  <c r="AN10" i="23"/>
  <c r="AN9" i="23"/>
  <c r="AN8" i="23"/>
  <c r="AE8" i="23"/>
  <c r="X8" i="23"/>
  <c r="AN7" i="23"/>
  <c r="AL7" i="23"/>
  <c r="AK7" i="23"/>
  <c r="K7" i="23"/>
  <c r="S7" i="23" s="1"/>
  <c r="AN6" i="23"/>
  <c r="AN5" i="23"/>
  <c r="S5" i="23"/>
  <c r="I5" i="23"/>
  <c r="J6" i="23" s="1"/>
  <c r="S6" i="23" s="1"/>
  <c r="AN4" i="23"/>
  <c r="AC4" i="23"/>
  <c r="S4" i="23"/>
  <c r="AN3" i="23"/>
  <c r="AC3" i="23"/>
  <c r="S3" i="23"/>
  <c r="AN2" i="23"/>
  <c r="AK2" i="23"/>
  <c r="AC2" i="23"/>
  <c r="S2" i="23"/>
  <c r="AN53" i="22"/>
  <c r="AN52" i="22"/>
  <c r="AN51" i="22"/>
  <c r="AN50" i="22"/>
  <c r="AN49" i="22"/>
  <c r="AN48" i="22"/>
  <c r="AN47" i="22"/>
  <c r="AE47" i="22"/>
  <c r="X47" i="22"/>
  <c r="AN46" i="22"/>
  <c r="AL46" i="22"/>
  <c r="AK46" i="22"/>
  <c r="K46" i="22"/>
  <c r="S46" i="22" s="1"/>
  <c r="AN45" i="22"/>
  <c r="AN44" i="22"/>
  <c r="AN43" i="22"/>
  <c r="S43" i="22"/>
  <c r="I44" i="22" s="1"/>
  <c r="J45" i="22" s="1"/>
  <c r="S45" i="22" s="1"/>
  <c r="AN42" i="22"/>
  <c r="AN41" i="22"/>
  <c r="AK41" i="22"/>
  <c r="U40" i="22"/>
  <c r="V40" i="22" s="1"/>
  <c r="W40" i="22" s="1"/>
  <c r="X40" i="22" s="1"/>
  <c r="Y40" i="22" s="1"/>
  <c r="Z40" i="22" s="1"/>
  <c r="AB40" i="22" s="1"/>
  <c r="AC40" i="22" s="1"/>
  <c r="AD40" i="22" s="1"/>
  <c r="AE40" i="22" s="1"/>
  <c r="AF40" i="22" s="1"/>
  <c r="AG40" i="22" s="1"/>
  <c r="AI40" i="22" s="1"/>
  <c r="AJ40" i="22" s="1"/>
  <c r="AK40" i="22" s="1"/>
  <c r="AC33" i="22"/>
  <c r="V33" i="22"/>
  <c r="AC32" i="22"/>
  <c r="V32" i="22"/>
  <c r="AC30" i="22"/>
  <c r="V30" i="22"/>
  <c r="AC29" i="22"/>
  <c r="V29" i="22"/>
  <c r="AC28" i="22"/>
  <c r="V28" i="22"/>
  <c r="AC27" i="22"/>
  <c r="V27" i="22"/>
  <c r="S25" i="22"/>
  <c r="S24" i="22"/>
  <c r="AE16" i="22"/>
  <c r="AN13" i="22"/>
  <c r="AN12" i="22"/>
  <c r="AN11" i="22"/>
  <c r="AN10" i="22"/>
  <c r="AN9" i="22"/>
  <c r="AN8" i="22"/>
  <c r="AE8" i="22"/>
  <c r="X8" i="22"/>
  <c r="AN7" i="22"/>
  <c r="AL7" i="22"/>
  <c r="AK7" i="22"/>
  <c r="K7" i="22"/>
  <c r="S7" i="22" s="1"/>
  <c r="AN6" i="22"/>
  <c r="S6" i="22"/>
  <c r="AN5" i="22"/>
  <c r="I5" i="22"/>
  <c r="J6" i="22" s="1"/>
  <c r="AN4" i="22"/>
  <c r="AC4" i="22"/>
  <c r="S4" i="22"/>
  <c r="AN3" i="22"/>
  <c r="AC3" i="22"/>
  <c r="S3" i="22"/>
  <c r="AN2" i="22"/>
  <c r="AK2" i="22"/>
  <c r="AC2" i="22"/>
  <c r="S2" i="22"/>
  <c r="AN53" i="21"/>
  <c r="AN52" i="21"/>
  <c r="AN51" i="21"/>
  <c r="AN50" i="21"/>
  <c r="AN49" i="21"/>
  <c r="AN48" i="21"/>
  <c r="AN47" i="21"/>
  <c r="AE47" i="21"/>
  <c r="X47" i="21"/>
  <c r="AN46" i="21"/>
  <c r="AL46" i="21"/>
  <c r="AK46" i="21"/>
  <c r="AN45" i="21"/>
  <c r="AN44" i="21"/>
  <c r="AN43" i="21"/>
  <c r="AC43" i="21"/>
  <c r="AN42" i="21"/>
  <c r="AN41" i="21"/>
  <c r="AK41" i="21"/>
  <c r="S41" i="21"/>
  <c r="U40" i="21"/>
  <c r="V40" i="21" s="1"/>
  <c r="W40" i="21" s="1"/>
  <c r="X40" i="21" s="1"/>
  <c r="Y40" i="21" s="1"/>
  <c r="Z40" i="21" s="1"/>
  <c r="AB40" i="21" s="1"/>
  <c r="AC40" i="21" s="1"/>
  <c r="AD40" i="21" s="1"/>
  <c r="AE40" i="21" s="1"/>
  <c r="AF40" i="21" s="1"/>
  <c r="AG40" i="21" s="1"/>
  <c r="AI40" i="21" s="1"/>
  <c r="AJ40" i="21" s="1"/>
  <c r="AK40" i="21" s="1"/>
  <c r="AC33" i="21"/>
  <c r="V33" i="21"/>
  <c r="AC32" i="21"/>
  <c r="V32" i="21"/>
  <c r="AC30" i="21"/>
  <c r="V30" i="21"/>
  <c r="AC29" i="21"/>
  <c r="V29" i="21"/>
  <c r="AC28" i="21"/>
  <c r="V28" i="21"/>
  <c r="AC27" i="21"/>
  <c r="V27" i="21"/>
  <c r="S25" i="21"/>
  <c r="S24" i="21"/>
  <c r="AE16" i="21"/>
  <c r="AN13" i="21"/>
  <c r="AN12" i="21"/>
  <c r="AN11" i="21"/>
  <c r="AN10" i="21"/>
  <c r="AN9" i="21"/>
  <c r="AN8" i="21"/>
  <c r="AE8" i="21"/>
  <c r="X8" i="21"/>
  <c r="AN7" i="21"/>
  <c r="AL7" i="21"/>
  <c r="AK7" i="21"/>
  <c r="AN6" i="21"/>
  <c r="J6" i="21"/>
  <c r="K7" i="21" s="1"/>
  <c r="S7" i="21" s="1"/>
  <c r="AN5" i="21"/>
  <c r="I5" i="21"/>
  <c r="S5" i="21" s="1"/>
  <c r="AN4" i="21"/>
  <c r="AC4" i="21"/>
  <c r="S4" i="21"/>
  <c r="AN3" i="21"/>
  <c r="AC3" i="21"/>
  <c r="S3" i="21"/>
  <c r="AN2" i="21"/>
  <c r="AK2" i="21"/>
  <c r="AC2" i="21"/>
  <c r="S2" i="21"/>
  <c r="AX62" i="20"/>
  <c r="AX61" i="20"/>
  <c r="AX60" i="20"/>
  <c r="AX59" i="20"/>
  <c r="AX58" i="20"/>
  <c r="AX57" i="20"/>
  <c r="AX56" i="20"/>
  <c r="AX55" i="20"/>
  <c r="AX54" i="20"/>
  <c r="AO54" i="20"/>
  <c r="W54" i="20"/>
  <c r="AX51" i="20"/>
  <c r="AV51" i="20"/>
  <c r="AX50" i="20"/>
  <c r="AX49" i="20"/>
  <c r="AX48" i="20"/>
  <c r="AB48" i="20"/>
  <c r="AX47" i="20"/>
  <c r="S47" i="20"/>
  <c r="AX46" i="20"/>
  <c r="AX45" i="20"/>
  <c r="AU45" i="20"/>
  <c r="AB45" i="20"/>
  <c r="AN44" i="20"/>
  <c r="AO44" i="20" s="1"/>
  <c r="AP44" i="20" s="1"/>
  <c r="AQ44" i="20" s="1"/>
  <c r="AS44" i="20" s="1"/>
  <c r="AT44" i="20" s="1"/>
  <c r="AU44" i="20" s="1"/>
  <c r="U44" i="20"/>
  <c r="V44" i="20" s="1"/>
  <c r="W44" i="20" s="1"/>
  <c r="X44" i="20" s="1"/>
  <c r="Y44" i="20" s="1"/>
  <c r="AA44" i="20" s="1"/>
  <c r="AB44" i="20" s="1"/>
  <c r="V42" i="20"/>
  <c r="AB36" i="20"/>
  <c r="V36" i="20"/>
  <c r="AB35" i="20"/>
  <c r="V35" i="20"/>
  <c r="AB33" i="20"/>
  <c r="V33" i="20"/>
  <c r="AB32" i="20"/>
  <c r="V32" i="20"/>
  <c r="AB31" i="20"/>
  <c r="V31" i="20"/>
  <c r="AB30" i="20"/>
  <c r="V30" i="20"/>
  <c r="S28" i="20"/>
  <c r="S27" i="20"/>
  <c r="AX17" i="20"/>
  <c r="AX16" i="20"/>
  <c r="AX15" i="20"/>
  <c r="AX14" i="20"/>
  <c r="AX13" i="20"/>
  <c r="AX12" i="20"/>
  <c r="AX11" i="20"/>
  <c r="AO11" i="20"/>
  <c r="W11" i="20"/>
  <c r="AX8" i="20"/>
  <c r="AV8" i="20"/>
  <c r="AX7" i="20"/>
  <c r="J7" i="20"/>
  <c r="AX6" i="20"/>
  <c r="AX5" i="20"/>
  <c r="AB5" i="20"/>
  <c r="S5" i="20"/>
  <c r="AX4" i="20"/>
  <c r="AB4" i="20"/>
  <c r="S4" i="20"/>
  <c r="AX3" i="20"/>
  <c r="AB3" i="20"/>
  <c r="S3" i="20"/>
  <c r="AX2" i="20"/>
  <c r="AB2" i="20"/>
  <c r="S2" i="20"/>
  <c r="AT65" i="19"/>
  <c r="AT64" i="19"/>
  <c r="AT63" i="19"/>
  <c r="AT62" i="19"/>
  <c r="AT61" i="19"/>
  <c r="AT60" i="19"/>
  <c r="AT59" i="19"/>
  <c r="AT58" i="19"/>
  <c r="AT57" i="19"/>
  <c r="AK57" i="19"/>
  <c r="AB57" i="19"/>
  <c r="AT56" i="19"/>
  <c r="AR56" i="19"/>
  <c r="AT55" i="19"/>
  <c r="AR55" i="19"/>
  <c r="AT54" i="19"/>
  <c r="AT53" i="19"/>
  <c r="AT52" i="19"/>
  <c r="AG52" i="19"/>
  <c r="AT51" i="19"/>
  <c r="AT50" i="19"/>
  <c r="AT49" i="19"/>
  <c r="AQ49" i="19"/>
  <c r="AG49" i="19"/>
  <c r="AJ48" i="19"/>
  <c r="AK48" i="19" s="1"/>
  <c r="AL48" i="19" s="1"/>
  <c r="AM48" i="19" s="1"/>
  <c r="AO48" i="19" s="1"/>
  <c r="AP48" i="19" s="1"/>
  <c r="AQ48" i="19" s="1"/>
  <c r="AA48" i="19"/>
  <c r="AB48" i="19" s="1"/>
  <c r="AC48" i="19" s="1"/>
  <c r="AD48" i="19" s="1"/>
  <c r="AF48" i="19" s="1"/>
  <c r="AG48" i="19" s="1"/>
  <c r="W48" i="19"/>
  <c r="X48" i="19" s="1"/>
  <c r="AG39" i="19"/>
  <c r="X39" i="19"/>
  <c r="AG38" i="19"/>
  <c r="X38" i="19"/>
  <c r="AG36" i="19"/>
  <c r="X36" i="19"/>
  <c r="AG35" i="19"/>
  <c r="X35" i="19"/>
  <c r="AG34" i="19"/>
  <c r="X34" i="19"/>
  <c r="AG33" i="19"/>
  <c r="X33" i="19"/>
  <c r="U31" i="19"/>
  <c r="U30" i="19"/>
  <c r="AK22" i="19"/>
  <c r="AT17" i="19"/>
  <c r="AT16" i="19"/>
  <c r="AT15" i="19"/>
  <c r="AT14" i="19"/>
  <c r="AT13" i="19"/>
  <c r="AT12" i="19"/>
  <c r="AT10" i="19"/>
  <c r="AK10" i="19"/>
  <c r="AB10" i="19"/>
  <c r="AT8" i="19"/>
  <c r="AR8" i="19"/>
  <c r="AT7" i="19"/>
  <c r="AT6" i="19"/>
  <c r="AT5" i="19"/>
  <c r="AG5" i="19"/>
  <c r="U5" i="19"/>
  <c r="I6" i="19" s="1"/>
  <c r="J7" i="19" s="1"/>
  <c r="AT4" i="19"/>
  <c r="AG4" i="19"/>
  <c r="U4" i="19"/>
  <c r="AT3" i="19"/>
  <c r="AG3" i="19"/>
  <c r="U3" i="19"/>
  <c r="AT2" i="19"/>
  <c r="AG2" i="19"/>
  <c r="U2" i="19"/>
  <c r="AP57" i="18"/>
  <c r="AP56" i="18"/>
  <c r="AP55" i="18"/>
  <c r="AP54" i="18"/>
  <c r="AP53" i="18"/>
  <c r="AP52" i="18"/>
  <c r="AP51" i="18"/>
  <c r="AP50" i="18"/>
  <c r="AG50" i="18"/>
  <c r="Y50" i="18"/>
  <c r="AP49" i="18"/>
  <c r="AN49" i="18"/>
  <c r="AP48" i="18"/>
  <c r="AP47" i="18"/>
  <c r="AP46" i="18"/>
  <c r="AD46" i="18"/>
  <c r="AP45" i="18"/>
  <c r="AD45" i="18"/>
  <c r="AP44" i="18"/>
  <c r="AD44" i="18"/>
  <c r="AP43" i="18"/>
  <c r="AM43" i="18"/>
  <c r="AD43" i="18"/>
  <c r="AF42" i="18"/>
  <c r="AG42" i="18" s="1"/>
  <c r="AH42" i="18" s="1"/>
  <c r="AI42" i="18" s="1"/>
  <c r="AK42" i="18" s="1"/>
  <c r="AL42" i="18" s="1"/>
  <c r="AM42" i="18" s="1"/>
  <c r="X42" i="18"/>
  <c r="Y42" i="18" s="1"/>
  <c r="Z42" i="18" s="1"/>
  <c r="AA42" i="18" s="1"/>
  <c r="AC42" i="18" s="1"/>
  <c r="AD42" i="18" s="1"/>
  <c r="U42" i="18"/>
  <c r="V42" i="18" s="1"/>
  <c r="AD35" i="18"/>
  <c r="V35" i="18"/>
  <c r="AD34" i="18"/>
  <c r="V34" i="18"/>
  <c r="AD32" i="18"/>
  <c r="V32" i="18"/>
  <c r="AD31" i="18"/>
  <c r="V31" i="18"/>
  <c r="AD30" i="18"/>
  <c r="V30" i="18"/>
  <c r="AD29" i="18"/>
  <c r="V29" i="18"/>
  <c r="S27" i="18"/>
  <c r="S26" i="18"/>
  <c r="AG18" i="18"/>
  <c r="AP15" i="18"/>
  <c r="AP14" i="18"/>
  <c r="AP13" i="18"/>
  <c r="AP12" i="18"/>
  <c r="AP11" i="18"/>
  <c r="AP10" i="18"/>
  <c r="AP9" i="18"/>
  <c r="AG9" i="18"/>
  <c r="Y9" i="18"/>
  <c r="AP8" i="18"/>
  <c r="AN8" i="18"/>
  <c r="AP7" i="18"/>
  <c r="J7" i="18"/>
  <c r="K8" i="18" s="1"/>
  <c r="S8" i="18" s="1"/>
  <c r="AP6" i="18"/>
  <c r="AP5" i="18"/>
  <c r="AD5" i="18"/>
  <c r="S5" i="18"/>
  <c r="I6" i="18" s="1"/>
  <c r="AP4" i="18"/>
  <c r="AD4" i="18"/>
  <c r="S4" i="18"/>
  <c r="AP3" i="18"/>
  <c r="AD3" i="18"/>
  <c r="S3" i="18"/>
  <c r="AP2" i="18"/>
  <c r="AD2" i="18"/>
  <c r="S2" i="18"/>
  <c r="AP57" i="17"/>
  <c r="AP56" i="17"/>
  <c r="AP55" i="17"/>
  <c r="AP54" i="17"/>
  <c r="AP53" i="17"/>
  <c r="AP52" i="17"/>
  <c r="AP51" i="17"/>
  <c r="AP50" i="17"/>
  <c r="AG50" i="17"/>
  <c r="Y50" i="17"/>
  <c r="AP49" i="17"/>
  <c r="AN49" i="17"/>
  <c r="AP48" i="17"/>
  <c r="S48" i="17"/>
  <c r="AP47" i="17"/>
  <c r="AP46" i="17"/>
  <c r="AD46" i="17"/>
  <c r="AP45" i="17"/>
  <c r="AD45" i="17"/>
  <c r="AP44" i="17"/>
  <c r="AP43" i="17"/>
  <c r="AM43" i="17"/>
  <c r="S43" i="17"/>
  <c r="AF42" i="17"/>
  <c r="AG42" i="17" s="1"/>
  <c r="AH42" i="17" s="1"/>
  <c r="AI42" i="17" s="1"/>
  <c r="AK42" i="17" s="1"/>
  <c r="AL42" i="17" s="1"/>
  <c r="AM42" i="17" s="1"/>
  <c r="X42" i="17"/>
  <c r="Y42" i="17" s="1"/>
  <c r="Z42" i="17" s="1"/>
  <c r="AA42" i="17" s="1"/>
  <c r="AC42" i="17" s="1"/>
  <c r="AD42" i="17" s="1"/>
  <c r="U42" i="17"/>
  <c r="V42" i="17" s="1"/>
  <c r="AD35" i="17"/>
  <c r="V35" i="17"/>
  <c r="AD34" i="17"/>
  <c r="V34" i="17"/>
  <c r="AD32" i="17"/>
  <c r="V32" i="17"/>
  <c r="AD31" i="17"/>
  <c r="V31" i="17"/>
  <c r="AD30" i="17"/>
  <c r="V30" i="17"/>
  <c r="AD29" i="17"/>
  <c r="V29" i="17"/>
  <c r="S27" i="17"/>
  <c r="S26" i="17"/>
  <c r="AG18" i="17"/>
  <c r="AP15" i="17"/>
  <c r="AP14" i="17"/>
  <c r="AP13" i="17"/>
  <c r="AP12" i="17"/>
  <c r="AP11" i="17"/>
  <c r="AP10" i="17"/>
  <c r="AP9" i="17"/>
  <c r="AG9" i="17"/>
  <c r="Y9" i="17"/>
  <c r="AP8" i="17"/>
  <c r="AN8" i="17"/>
  <c r="AP7" i="17"/>
  <c r="AP6" i="17"/>
  <c r="AP5" i="17"/>
  <c r="AD5" i="17"/>
  <c r="S5" i="17"/>
  <c r="I6" i="17" s="1"/>
  <c r="J7" i="17" s="1"/>
  <c r="AP4" i="17"/>
  <c r="AD4" i="17"/>
  <c r="S4" i="17"/>
  <c r="AP3" i="17"/>
  <c r="AD3" i="17"/>
  <c r="S3" i="17"/>
  <c r="AP2" i="17"/>
  <c r="AD2" i="17"/>
  <c r="S2" i="17"/>
  <c r="AP57" i="16"/>
  <c r="AP56" i="16"/>
  <c r="AP55" i="16"/>
  <c r="AP54" i="16"/>
  <c r="AP53" i="16"/>
  <c r="AP52" i="16"/>
  <c r="AP51" i="16"/>
  <c r="AP50" i="16"/>
  <c r="AG50" i="16"/>
  <c r="Y50" i="16"/>
  <c r="AP49" i="16"/>
  <c r="AN49" i="16"/>
  <c r="AP48" i="16"/>
  <c r="AP47" i="16"/>
  <c r="AP46" i="16"/>
  <c r="AD46" i="16"/>
  <c r="AP45" i="16"/>
  <c r="AD45" i="16"/>
  <c r="AP44" i="16"/>
  <c r="AD44" i="16"/>
  <c r="AP43" i="16"/>
  <c r="AM43" i="16"/>
  <c r="AF42" i="16"/>
  <c r="AG42" i="16" s="1"/>
  <c r="AH42" i="16" s="1"/>
  <c r="AI42" i="16" s="1"/>
  <c r="AK42" i="16" s="1"/>
  <c r="AL42" i="16" s="1"/>
  <c r="AM42" i="16" s="1"/>
  <c r="X42" i="16"/>
  <c r="Y42" i="16" s="1"/>
  <c r="Z42" i="16" s="1"/>
  <c r="AA42" i="16" s="1"/>
  <c r="AC42" i="16" s="1"/>
  <c r="AD42" i="16" s="1"/>
  <c r="U42" i="16"/>
  <c r="V42" i="16" s="1"/>
  <c r="AD35" i="16"/>
  <c r="V35" i="16"/>
  <c r="AD34" i="16"/>
  <c r="V34" i="16"/>
  <c r="AD32" i="16"/>
  <c r="V32" i="16"/>
  <c r="AD31" i="16"/>
  <c r="V31" i="16"/>
  <c r="AD30" i="16"/>
  <c r="V30" i="16"/>
  <c r="AD29" i="16"/>
  <c r="V29" i="16"/>
  <c r="S27" i="16"/>
  <c r="S26" i="16"/>
  <c r="AG18" i="16"/>
  <c r="AP15" i="16"/>
  <c r="AP14" i="16"/>
  <c r="AP13" i="16"/>
  <c r="AP12" i="16"/>
  <c r="AP11" i="16"/>
  <c r="AP10" i="16"/>
  <c r="AP9" i="16"/>
  <c r="AG9" i="16"/>
  <c r="Y9" i="16"/>
  <c r="AP8" i="16"/>
  <c r="AN8" i="16"/>
  <c r="AP7" i="16"/>
  <c r="J7" i="16"/>
  <c r="K8" i="16" s="1"/>
  <c r="S8" i="16" s="1"/>
  <c r="AP6" i="16"/>
  <c r="I6" i="16"/>
  <c r="AP5" i="16"/>
  <c r="AD5" i="16"/>
  <c r="S5" i="16"/>
  <c r="AP4" i="16"/>
  <c r="AD4" i="16"/>
  <c r="S4" i="16"/>
  <c r="AP3" i="16"/>
  <c r="AD3" i="16"/>
  <c r="S3" i="16"/>
  <c r="AP2" i="16"/>
  <c r="AD2" i="16"/>
  <c r="S2" i="16"/>
  <c r="AP57" i="15"/>
  <c r="AP56" i="15"/>
  <c r="AP55" i="15"/>
  <c r="AP54" i="15"/>
  <c r="AP53" i="15"/>
  <c r="AP52" i="15"/>
  <c r="AP51" i="15"/>
  <c r="AP50" i="15"/>
  <c r="AG50" i="15"/>
  <c r="Y50" i="15"/>
  <c r="AP49" i="15"/>
  <c r="AN49" i="15"/>
  <c r="AP48" i="15"/>
  <c r="AP47" i="15"/>
  <c r="I47" i="15"/>
  <c r="J48" i="15" s="1"/>
  <c r="K49" i="15" s="1"/>
  <c r="S49" i="15" s="1"/>
  <c r="AP46" i="15"/>
  <c r="AD46" i="15"/>
  <c r="AP45" i="15"/>
  <c r="AD45" i="15"/>
  <c r="AP44" i="15"/>
  <c r="S44" i="15"/>
  <c r="AP43" i="15"/>
  <c r="AM43" i="15"/>
  <c r="AD43" i="15"/>
  <c r="AF42" i="15"/>
  <c r="AG42" i="15" s="1"/>
  <c r="AH42" i="15" s="1"/>
  <c r="AI42" i="15" s="1"/>
  <c r="AK42" i="15" s="1"/>
  <c r="AL42" i="15" s="1"/>
  <c r="AM42" i="15" s="1"/>
  <c r="X42" i="15"/>
  <c r="Y42" i="15" s="1"/>
  <c r="Z42" i="15" s="1"/>
  <c r="AA42" i="15" s="1"/>
  <c r="AC42" i="15" s="1"/>
  <c r="AD42" i="15" s="1"/>
  <c r="U42" i="15"/>
  <c r="V42" i="15" s="1"/>
  <c r="AD35" i="15"/>
  <c r="V35" i="15"/>
  <c r="AD34" i="15"/>
  <c r="V34" i="15"/>
  <c r="AD32" i="15"/>
  <c r="V32" i="15"/>
  <c r="AD31" i="15"/>
  <c r="V31" i="15"/>
  <c r="AD30" i="15"/>
  <c r="V30" i="15"/>
  <c r="AD29" i="15"/>
  <c r="V29" i="15"/>
  <c r="S27" i="15"/>
  <c r="S26" i="15"/>
  <c r="AG18" i="15"/>
  <c r="AP15" i="15"/>
  <c r="AP14" i="15"/>
  <c r="AP13" i="15"/>
  <c r="AP12" i="15"/>
  <c r="AP11" i="15"/>
  <c r="AP10" i="15"/>
  <c r="AP9" i="15"/>
  <c r="AG9" i="15"/>
  <c r="Y9" i="15"/>
  <c r="AP8" i="15"/>
  <c r="AN8" i="15"/>
  <c r="AP7" i="15"/>
  <c r="AP6" i="15"/>
  <c r="AP5" i="15"/>
  <c r="AD5" i="15"/>
  <c r="S5" i="15"/>
  <c r="I6" i="15" s="1"/>
  <c r="AP4" i="15"/>
  <c r="AD4" i="15"/>
  <c r="S4" i="15"/>
  <c r="AP3" i="15"/>
  <c r="AD3" i="15"/>
  <c r="S3" i="15"/>
  <c r="AP2" i="15"/>
  <c r="AD2" i="15"/>
  <c r="S2" i="15"/>
  <c r="AP57" i="14"/>
  <c r="AP56" i="14"/>
  <c r="AP55" i="14"/>
  <c r="AP54" i="14"/>
  <c r="AP53" i="14"/>
  <c r="AP52" i="14"/>
  <c r="AP51" i="14"/>
  <c r="AP50" i="14"/>
  <c r="AG50" i="14"/>
  <c r="Y50" i="14"/>
  <c r="AP49" i="14"/>
  <c r="AN49" i="14"/>
  <c r="AP48" i="14"/>
  <c r="AP47" i="14"/>
  <c r="AP46" i="14"/>
  <c r="AD46" i="14"/>
  <c r="AP45" i="14"/>
  <c r="S45" i="14"/>
  <c r="AP44" i="14"/>
  <c r="AD44" i="14"/>
  <c r="AP43" i="14"/>
  <c r="AM43" i="14"/>
  <c r="AF42" i="14"/>
  <c r="AG42" i="14" s="1"/>
  <c r="AH42" i="14" s="1"/>
  <c r="AI42" i="14" s="1"/>
  <c r="AK42" i="14" s="1"/>
  <c r="AL42" i="14" s="1"/>
  <c r="AM42" i="14" s="1"/>
  <c r="X42" i="14"/>
  <c r="Y42" i="14" s="1"/>
  <c r="Z42" i="14" s="1"/>
  <c r="AA42" i="14" s="1"/>
  <c r="AC42" i="14" s="1"/>
  <c r="AD42" i="14" s="1"/>
  <c r="U42" i="14"/>
  <c r="V42" i="14" s="1"/>
  <c r="AD35" i="14"/>
  <c r="V35" i="14"/>
  <c r="AD34" i="14"/>
  <c r="V34" i="14"/>
  <c r="AD32" i="14"/>
  <c r="V32" i="14"/>
  <c r="AD31" i="14"/>
  <c r="V31" i="14"/>
  <c r="AD30" i="14"/>
  <c r="V30" i="14"/>
  <c r="AD29" i="14"/>
  <c r="V29" i="14"/>
  <c r="S27" i="14"/>
  <c r="S26" i="14"/>
  <c r="AG18" i="14"/>
  <c r="AP15" i="14"/>
  <c r="AP14" i="14"/>
  <c r="AP13" i="14"/>
  <c r="AP12" i="14"/>
  <c r="AP11" i="14"/>
  <c r="AP10" i="14"/>
  <c r="AP9" i="14"/>
  <c r="AG9" i="14"/>
  <c r="Y9" i="14"/>
  <c r="AP8" i="14"/>
  <c r="AN8" i="14"/>
  <c r="AP7" i="14"/>
  <c r="AP6" i="14"/>
  <c r="AP5" i="14"/>
  <c r="AD5" i="14"/>
  <c r="S5" i="14"/>
  <c r="I6" i="14" s="1"/>
  <c r="AP4" i="14"/>
  <c r="AD4" i="14"/>
  <c r="S4" i="14"/>
  <c r="AP3" i="14"/>
  <c r="AD3" i="14"/>
  <c r="S3" i="14"/>
  <c r="AP2" i="14"/>
  <c r="AD2" i="14"/>
  <c r="S2" i="14"/>
  <c r="AP57" i="13"/>
  <c r="AP56" i="13"/>
  <c r="AP55" i="13"/>
  <c r="AP54" i="13"/>
  <c r="AP53" i="13"/>
  <c r="AP52" i="13"/>
  <c r="AP51" i="13"/>
  <c r="AP50" i="13"/>
  <c r="AG50" i="13"/>
  <c r="Y50" i="13"/>
  <c r="AP49" i="13"/>
  <c r="AN49" i="13"/>
  <c r="AP48" i="13"/>
  <c r="AP47" i="13"/>
  <c r="AP46" i="13"/>
  <c r="AD46" i="13"/>
  <c r="AP45" i="13"/>
  <c r="AP44" i="13"/>
  <c r="AP43" i="13"/>
  <c r="AM43" i="13"/>
  <c r="AD43" i="13"/>
  <c r="AF42" i="13"/>
  <c r="AG42" i="13" s="1"/>
  <c r="AH42" i="13" s="1"/>
  <c r="AI42" i="13" s="1"/>
  <c r="AK42" i="13" s="1"/>
  <c r="AL42" i="13" s="1"/>
  <c r="AM42" i="13" s="1"/>
  <c r="X42" i="13"/>
  <c r="Y42" i="13" s="1"/>
  <c r="Z42" i="13" s="1"/>
  <c r="AA42" i="13" s="1"/>
  <c r="AC42" i="13" s="1"/>
  <c r="AD42" i="13" s="1"/>
  <c r="U42" i="13"/>
  <c r="V42" i="13" s="1"/>
  <c r="AD35" i="13"/>
  <c r="V35" i="13"/>
  <c r="AD34" i="13"/>
  <c r="V34" i="13"/>
  <c r="AD32" i="13"/>
  <c r="V32" i="13"/>
  <c r="AD31" i="13"/>
  <c r="V31" i="13"/>
  <c r="AD30" i="13"/>
  <c r="V30" i="13"/>
  <c r="AD29" i="13"/>
  <c r="V29" i="13"/>
  <c r="S27" i="13"/>
  <c r="S26" i="13"/>
  <c r="AG18" i="13"/>
  <c r="AP15" i="13"/>
  <c r="AP14" i="13"/>
  <c r="AP13" i="13"/>
  <c r="AP12" i="13"/>
  <c r="AP11" i="13"/>
  <c r="AP10" i="13"/>
  <c r="AP9" i="13"/>
  <c r="AG9" i="13"/>
  <c r="Y9" i="13"/>
  <c r="AP8" i="13"/>
  <c r="AN8" i="13"/>
  <c r="AP7" i="13"/>
  <c r="AP6" i="13"/>
  <c r="I6" i="13"/>
  <c r="J7" i="13" s="1"/>
  <c r="AP5" i="13"/>
  <c r="AD5" i="13"/>
  <c r="S5" i="13"/>
  <c r="AP4" i="13"/>
  <c r="AD4" i="13"/>
  <c r="S4" i="13"/>
  <c r="AP3" i="13"/>
  <c r="AD3" i="13"/>
  <c r="S3" i="13"/>
  <c r="AP2" i="13"/>
  <c r="AD2" i="13"/>
  <c r="S2" i="13"/>
  <c r="AP57" i="12"/>
  <c r="AP56" i="12"/>
  <c r="AP55" i="12"/>
  <c r="AP54" i="12"/>
  <c r="AP53" i="12"/>
  <c r="AP52" i="12"/>
  <c r="AP51" i="12"/>
  <c r="AP50" i="12"/>
  <c r="AG50" i="12"/>
  <c r="Y50" i="12"/>
  <c r="AP49" i="12"/>
  <c r="AN49" i="12"/>
  <c r="AP48" i="12"/>
  <c r="AP47" i="12"/>
  <c r="AP46" i="12"/>
  <c r="AD46" i="12"/>
  <c r="AP45" i="12"/>
  <c r="AD45" i="12"/>
  <c r="AP44" i="12"/>
  <c r="AD44" i="12"/>
  <c r="AP43" i="12"/>
  <c r="AM43" i="12"/>
  <c r="AF42" i="12"/>
  <c r="AG42" i="12" s="1"/>
  <c r="AH42" i="12" s="1"/>
  <c r="AI42" i="12" s="1"/>
  <c r="AK42" i="12" s="1"/>
  <c r="AL42" i="12" s="1"/>
  <c r="AM42" i="12" s="1"/>
  <c r="X42" i="12"/>
  <c r="Y42" i="12" s="1"/>
  <c r="Z42" i="12" s="1"/>
  <c r="AA42" i="12" s="1"/>
  <c r="AC42" i="12" s="1"/>
  <c r="AD42" i="12" s="1"/>
  <c r="U42" i="12"/>
  <c r="V42" i="12" s="1"/>
  <c r="AD35" i="12"/>
  <c r="V35" i="12"/>
  <c r="AD34" i="12"/>
  <c r="V34" i="12"/>
  <c r="AD32" i="12"/>
  <c r="V32" i="12"/>
  <c r="AD31" i="12"/>
  <c r="V31" i="12"/>
  <c r="AD30" i="12"/>
  <c r="V30" i="12"/>
  <c r="AD29" i="12"/>
  <c r="V29" i="12"/>
  <c r="S27" i="12"/>
  <c r="S26" i="12"/>
  <c r="AG18" i="12"/>
  <c r="AP15" i="12"/>
  <c r="AP14" i="12"/>
  <c r="AP13" i="12"/>
  <c r="AP12" i="12"/>
  <c r="AP11" i="12"/>
  <c r="AP10" i="12"/>
  <c r="AP9" i="12"/>
  <c r="AG9" i="12"/>
  <c r="Y9" i="12"/>
  <c r="AP8" i="12"/>
  <c r="AN8" i="12"/>
  <c r="AP7" i="12"/>
  <c r="J7" i="12"/>
  <c r="K8" i="12" s="1"/>
  <c r="S8" i="12" s="1"/>
  <c r="AP6" i="12"/>
  <c r="AP5" i="12"/>
  <c r="AD5" i="12"/>
  <c r="S5" i="12"/>
  <c r="I6" i="12" s="1"/>
  <c r="S6" i="12" s="1"/>
  <c r="AP4" i="12"/>
  <c r="AD4" i="12"/>
  <c r="S4" i="12"/>
  <c r="AP3" i="12"/>
  <c r="AD3" i="12"/>
  <c r="S3" i="12"/>
  <c r="AP2" i="12"/>
  <c r="AD2" i="12"/>
  <c r="S2" i="12"/>
  <c r="AP57" i="11"/>
  <c r="AP56" i="11"/>
  <c r="AP55" i="11"/>
  <c r="AP54" i="11"/>
  <c r="AP53" i="11"/>
  <c r="AP52" i="11"/>
  <c r="AP51" i="11"/>
  <c r="AP50" i="11"/>
  <c r="AG50" i="11"/>
  <c r="Y50" i="11"/>
  <c r="AP49" i="11"/>
  <c r="AN49" i="11"/>
  <c r="AP48" i="11"/>
  <c r="AP47" i="11"/>
  <c r="AP46" i="11"/>
  <c r="AD46" i="11"/>
  <c r="AP45" i="11"/>
  <c r="AD45" i="11"/>
  <c r="AP44" i="11"/>
  <c r="S44" i="11"/>
  <c r="AP43" i="11"/>
  <c r="AM43" i="11"/>
  <c r="AF42" i="11"/>
  <c r="AG42" i="11" s="1"/>
  <c r="AH42" i="11" s="1"/>
  <c r="AI42" i="11" s="1"/>
  <c r="AK42" i="11" s="1"/>
  <c r="AL42" i="11" s="1"/>
  <c r="AM42" i="11" s="1"/>
  <c r="X42" i="11"/>
  <c r="Y42" i="11" s="1"/>
  <c r="Z42" i="11" s="1"/>
  <c r="AA42" i="11" s="1"/>
  <c r="AC42" i="11" s="1"/>
  <c r="AD42" i="11" s="1"/>
  <c r="U42" i="11"/>
  <c r="V42" i="11" s="1"/>
  <c r="AD35" i="11"/>
  <c r="V35" i="11"/>
  <c r="AD34" i="11"/>
  <c r="V34" i="11"/>
  <c r="AD32" i="11"/>
  <c r="V32" i="11"/>
  <c r="AD31" i="11"/>
  <c r="V31" i="11"/>
  <c r="AD30" i="11"/>
  <c r="V30" i="11"/>
  <c r="AD29" i="11"/>
  <c r="V29" i="11"/>
  <c r="S27" i="11"/>
  <c r="S26" i="11"/>
  <c r="AG18" i="11"/>
  <c r="AP15" i="11"/>
  <c r="AP14" i="11"/>
  <c r="AP13" i="11"/>
  <c r="AP12" i="11"/>
  <c r="AP11" i="11"/>
  <c r="AP10" i="11"/>
  <c r="AP9" i="11"/>
  <c r="AG9" i="11"/>
  <c r="Y9" i="11"/>
  <c r="AP8" i="11"/>
  <c r="AN8" i="11"/>
  <c r="AP7" i="11"/>
  <c r="AP6" i="11"/>
  <c r="I6" i="11"/>
  <c r="J7" i="11" s="1"/>
  <c r="AP5" i="11"/>
  <c r="AD5" i="11"/>
  <c r="S5" i="11"/>
  <c r="AP4" i="11"/>
  <c r="AD4" i="11"/>
  <c r="S4" i="11"/>
  <c r="AP3" i="11"/>
  <c r="AD3" i="11"/>
  <c r="S3" i="11"/>
  <c r="AP2" i="11"/>
  <c r="AD2" i="11"/>
  <c r="S2" i="11"/>
  <c r="G15" i="10"/>
  <c r="E5" i="10"/>
  <c r="D7" i="9"/>
  <c r="F13" i="8"/>
  <c r="E13" i="8"/>
  <c r="F8" i="8"/>
  <c r="E8" i="8"/>
  <c r="D5" i="8"/>
  <c r="D4" i="8"/>
  <c r="D54" i="7"/>
  <c r="D53" i="7"/>
  <c r="G51" i="7"/>
  <c r="E46" i="7"/>
  <c r="G45" i="7"/>
  <c r="E44" i="7"/>
  <c r="G43" i="7"/>
  <c r="E43" i="7"/>
  <c r="G39" i="7"/>
  <c r="E39" i="7"/>
  <c r="E38" i="7"/>
  <c r="E37" i="7"/>
  <c r="G36" i="7"/>
  <c r="E36" i="7"/>
  <c r="G35" i="7"/>
  <c r="E35" i="7"/>
  <c r="G34" i="7"/>
  <c r="E34" i="7"/>
  <c r="E33" i="7"/>
  <c r="A33" i="7"/>
  <c r="D33" i="7" s="1"/>
  <c r="G29" i="7"/>
  <c r="G28" i="7"/>
  <c r="G27" i="7"/>
  <c r="D23" i="7"/>
  <c r="D22" i="7"/>
  <c r="D21" i="7"/>
  <c r="D19" i="7"/>
  <c r="D20" i="7" s="1"/>
  <c r="E18" i="7"/>
  <c r="G17" i="7"/>
  <c r="E17" i="7"/>
  <c r="G16" i="7"/>
  <c r="E16" i="7"/>
  <c r="F15" i="7"/>
  <c r="F14" i="7"/>
  <c r="G13" i="7"/>
  <c r="E13" i="7"/>
  <c r="E12" i="7"/>
  <c r="F11" i="7"/>
  <c r="D5" i="7"/>
  <c r="D4" i="7"/>
  <c r="D5" i="6"/>
  <c r="AQ131" i="5"/>
  <c r="AP131" i="5"/>
  <c r="S48" i="29" s="1"/>
  <c r="K52" i="29" s="1"/>
  <c r="S52" i="29" s="1"/>
  <c r="AO131" i="5"/>
  <c r="S47" i="29" s="1"/>
  <c r="AN131" i="5"/>
  <c r="S46" i="29" s="1"/>
  <c r="AM131" i="5"/>
  <c r="AL131" i="5"/>
  <c r="AK131" i="5"/>
  <c r="AD47" i="29" s="1"/>
  <c r="AJ131" i="5"/>
  <c r="AI131" i="5"/>
  <c r="AH131" i="5"/>
  <c r="F327" i="48" s="1"/>
  <c r="AQ126" i="5"/>
  <c r="AP126" i="5"/>
  <c r="S43" i="28" s="1"/>
  <c r="I44" i="28" s="1"/>
  <c r="S44" i="28" s="1"/>
  <c r="AO126" i="5"/>
  <c r="S42" i="28" s="1"/>
  <c r="AN126" i="5"/>
  <c r="S41" i="28" s="1"/>
  <c r="AM126" i="5"/>
  <c r="AL126" i="5"/>
  <c r="AC43" i="28" s="1"/>
  <c r="AK126" i="5"/>
  <c r="AC42" i="28" s="1"/>
  <c r="AJ126" i="5"/>
  <c r="AI126" i="5"/>
  <c r="AH126" i="5"/>
  <c r="AQ121" i="5"/>
  <c r="AP121" i="5"/>
  <c r="S43" i="27" s="1"/>
  <c r="I44" i="27" s="1"/>
  <c r="AO121" i="5"/>
  <c r="S42" i="27" s="1"/>
  <c r="AN121" i="5"/>
  <c r="S41" i="27" s="1"/>
  <c r="AM121" i="5"/>
  <c r="AL121" i="5"/>
  <c r="AK121" i="5"/>
  <c r="AC42" i="27" s="1"/>
  <c r="AJ121" i="5"/>
  <c r="AI121" i="5"/>
  <c r="AH121" i="5"/>
  <c r="F260" i="48" s="1"/>
  <c r="AQ115" i="5"/>
  <c r="AP115" i="5"/>
  <c r="S48" i="32" s="1"/>
  <c r="K52" i="32" s="1"/>
  <c r="S52" i="32" s="1"/>
  <c r="AO115" i="5"/>
  <c r="S47" i="32" s="1"/>
  <c r="AN115" i="5"/>
  <c r="S46" i="32" s="1"/>
  <c r="AM115" i="5"/>
  <c r="AL115" i="5"/>
  <c r="AD48" i="32" s="1"/>
  <c r="AK115" i="5"/>
  <c r="AD47" i="32" s="1"/>
  <c r="AJ115" i="5"/>
  <c r="G72" i="48" s="1"/>
  <c r="AI115" i="5"/>
  <c r="AH115" i="5"/>
  <c r="F72" i="48" s="1"/>
  <c r="AQ110" i="5"/>
  <c r="AP110" i="5"/>
  <c r="S44" i="31" s="1"/>
  <c r="I45" i="31" s="1"/>
  <c r="AO110" i="5"/>
  <c r="S43" i="31" s="1"/>
  <c r="AN110" i="5"/>
  <c r="S42" i="31" s="1"/>
  <c r="AM110" i="5"/>
  <c r="AL110" i="5"/>
  <c r="AG44" i="31" s="1"/>
  <c r="AK110" i="5"/>
  <c r="AG43" i="31" s="1"/>
  <c r="AJ110" i="5"/>
  <c r="AI110" i="5"/>
  <c r="AH110" i="5"/>
  <c r="F132" i="48" s="1"/>
  <c r="AQ105" i="5"/>
  <c r="AP105" i="5"/>
  <c r="S44" i="30" s="1"/>
  <c r="I45" i="30" s="1"/>
  <c r="AO105" i="5"/>
  <c r="S43" i="30" s="1"/>
  <c r="AN105" i="5"/>
  <c r="S42" i="30" s="1"/>
  <c r="AM105" i="5"/>
  <c r="AL105" i="5"/>
  <c r="AG44" i="30" s="1"/>
  <c r="AK105" i="5"/>
  <c r="AG43" i="30" s="1"/>
  <c r="AJ105" i="5"/>
  <c r="AG42" i="30" s="1"/>
  <c r="AI105" i="5"/>
  <c r="AH105" i="5"/>
  <c r="AQ99" i="5"/>
  <c r="AP99" i="5"/>
  <c r="S48" i="26" s="1"/>
  <c r="K52" i="26" s="1"/>
  <c r="S52" i="26" s="1"/>
  <c r="AO99" i="5"/>
  <c r="S47" i="26" s="1"/>
  <c r="AN99" i="5"/>
  <c r="S46" i="26" s="1"/>
  <c r="AM99" i="5"/>
  <c r="AL99" i="5"/>
  <c r="AK99" i="5"/>
  <c r="AD47" i="26" s="1"/>
  <c r="AJ99" i="5"/>
  <c r="AI99" i="5"/>
  <c r="AH99" i="5"/>
  <c r="F248" i="48" s="1"/>
  <c r="AQ94" i="5"/>
  <c r="AP94" i="5"/>
  <c r="S43" i="24" s="1"/>
  <c r="I44" i="24" s="1"/>
  <c r="AO94" i="5"/>
  <c r="S42" i="24" s="1"/>
  <c r="AN94" i="5"/>
  <c r="S41" i="24" s="1"/>
  <c r="AM94" i="5"/>
  <c r="AL94" i="5"/>
  <c r="AC43" i="24" s="1"/>
  <c r="AK94" i="5"/>
  <c r="AC42" i="24" s="1"/>
  <c r="AJ94" i="5"/>
  <c r="G306" i="48" s="1"/>
  <c r="AI94" i="5"/>
  <c r="AH94" i="5"/>
  <c r="F306" i="48" s="1"/>
  <c r="AQ89" i="5"/>
  <c r="AP89" i="5"/>
  <c r="S43" i="23" s="1"/>
  <c r="I44" i="23" s="1"/>
  <c r="AO89" i="5"/>
  <c r="S42" i="23" s="1"/>
  <c r="AN89" i="5"/>
  <c r="S41" i="23" s="1"/>
  <c r="AM89" i="5"/>
  <c r="AL89" i="5"/>
  <c r="AK89" i="5"/>
  <c r="AC42" i="23" s="1"/>
  <c r="AJ89" i="5"/>
  <c r="AI89" i="5"/>
  <c r="AH89" i="5"/>
  <c r="F181" i="48" s="1"/>
  <c r="AQ84" i="5"/>
  <c r="AP84" i="5"/>
  <c r="AO84" i="5"/>
  <c r="S42" i="22" s="1"/>
  <c r="AN84" i="5"/>
  <c r="S41" i="22" s="1"/>
  <c r="AM84" i="5"/>
  <c r="AL84" i="5"/>
  <c r="AC43" i="22" s="1"/>
  <c r="AK84" i="5"/>
  <c r="AC42" i="22" s="1"/>
  <c r="AJ84" i="5"/>
  <c r="G54" i="48" s="1"/>
  <c r="AI84" i="5"/>
  <c r="AH84" i="5"/>
  <c r="F239" i="48" s="1"/>
  <c r="AQ79" i="5"/>
  <c r="AP79" i="5"/>
  <c r="S43" i="21" s="1"/>
  <c r="I44" i="21" s="1"/>
  <c r="AO79" i="5"/>
  <c r="S42" i="21" s="1"/>
  <c r="AN79" i="5"/>
  <c r="AM79" i="5"/>
  <c r="AL79" i="5"/>
  <c r="AK79" i="5"/>
  <c r="AC42" i="21" s="1"/>
  <c r="AJ79" i="5"/>
  <c r="AI79" i="5"/>
  <c r="AH79" i="5"/>
  <c r="F175" i="48" s="1"/>
  <c r="AQ63" i="5"/>
  <c r="S46" i="14" s="1"/>
  <c r="I47" i="14" s="1"/>
  <c r="AP63" i="5"/>
  <c r="S45" i="13" s="1"/>
  <c r="AO63" i="5"/>
  <c r="AN63" i="5"/>
  <c r="S43" i="14" s="1"/>
  <c r="AM63" i="5"/>
  <c r="AL63" i="5"/>
  <c r="AD45" i="13" s="1"/>
  <c r="AK63" i="5"/>
  <c r="AD44" i="13" s="1"/>
  <c r="AJ63" i="5"/>
  <c r="AD43" i="14" s="1"/>
  <c r="AI63" i="5"/>
  <c r="AH63" i="5"/>
  <c r="AQ58" i="5"/>
  <c r="S45" i="25" s="1"/>
  <c r="AP58" i="5"/>
  <c r="S44" i="25" s="1"/>
  <c r="AO58" i="5"/>
  <c r="S43" i="25" s="1"/>
  <c r="AN58" i="5"/>
  <c r="S42" i="25" s="1"/>
  <c r="AM58" i="5"/>
  <c r="AL58" i="5"/>
  <c r="AC44" i="25" s="1"/>
  <c r="AK58" i="5"/>
  <c r="AC43" i="25" s="1"/>
  <c r="AJ58" i="5"/>
  <c r="AI58" i="5"/>
  <c r="AH58" i="5"/>
  <c r="F172" i="48" s="1"/>
  <c r="AQ53" i="5"/>
  <c r="S48" i="20" s="1"/>
  <c r="I49" i="20" s="1"/>
  <c r="AP53" i="5"/>
  <c r="AO53" i="5"/>
  <c r="S46" i="20" s="1"/>
  <c r="AN53" i="5"/>
  <c r="S45" i="20" s="1"/>
  <c r="AM53" i="5"/>
  <c r="AL53" i="5"/>
  <c r="AB47" i="20" s="1"/>
  <c r="AK53" i="5"/>
  <c r="AB46" i="20" s="1"/>
  <c r="AJ53" i="5"/>
  <c r="AI53" i="5"/>
  <c r="AH53" i="5"/>
  <c r="F230" i="48" s="1"/>
  <c r="AQ48" i="5"/>
  <c r="S46" i="15" s="1"/>
  <c r="AP48" i="5"/>
  <c r="S45" i="15" s="1"/>
  <c r="AO48" i="5"/>
  <c r="AN48" i="5"/>
  <c r="S43" i="15" s="1"/>
  <c r="AM48" i="5"/>
  <c r="AL48" i="5"/>
  <c r="AK48" i="5"/>
  <c r="AD44" i="15" s="1"/>
  <c r="AJ48" i="5"/>
  <c r="AI48" i="5"/>
  <c r="AH48" i="5"/>
  <c r="AQ43" i="5"/>
  <c r="S46" i="18" s="1"/>
  <c r="AP43" i="5"/>
  <c r="S45" i="18" s="1"/>
  <c r="AO43" i="5"/>
  <c r="S44" i="18" s="1"/>
  <c r="AN43" i="5"/>
  <c r="S43" i="18" s="1"/>
  <c r="AM43" i="5"/>
  <c r="AL43" i="5"/>
  <c r="AK43" i="5"/>
  <c r="AJ43" i="5"/>
  <c r="G224" i="48" s="1"/>
  <c r="AI43" i="5"/>
  <c r="AH43" i="5"/>
  <c r="AQ38" i="5"/>
  <c r="S46" i="17" s="1"/>
  <c r="J48" i="17" s="1"/>
  <c r="K49" i="17" s="1"/>
  <c r="S49" i="17" s="1"/>
  <c r="AP38" i="5"/>
  <c r="S45" i="17" s="1"/>
  <c r="AO38" i="5"/>
  <c r="S44" i="17" s="1"/>
  <c r="AN38" i="5"/>
  <c r="AM38" i="5"/>
  <c r="AL38" i="5"/>
  <c r="AK38" i="5"/>
  <c r="AD44" i="17" s="1"/>
  <c r="AJ38" i="5"/>
  <c r="AI38" i="5"/>
  <c r="AH38" i="5"/>
  <c r="F160" i="48" s="1"/>
  <c r="AQ33" i="5"/>
  <c r="U52" i="19" s="1"/>
  <c r="I53" i="19" s="1"/>
  <c r="J54" i="19" s="1"/>
  <c r="AP33" i="5"/>
  <c r="U51" i="19" s="1"/>
  <c r="AO33" i="5"/>
  <c r="U50" i="19" s="1"/>
  <c r="AN33" i="5"/>
  <c r="U49" i="19" s="1"/>
  <c r="AM33" i="5"/>
  <c r="AL33" i="5"/>
  <c r="AG51" i="19" s="1"/>
  <c r="AK33" i="5"/>
  <c r="AG50" i="19" s="1"/>
  <c r="AJ33" i="5"/>
  <c r="G218" i="48" s="1"/>
  <c r="AI33" i="5"/>
  <c r="AH33" i="5"/>
  <c r="F218" i="48" s="1"/>
  <c r="AQ28" i="5"/>
  <c r="L22" i="64" s="1"/>
  <c r="F23" i="64" s="1"/>
  <c r="AP28" i="5"/>
  <c r="AO28" i="5"/>
  <c r="L20" i="64" s="1"/>
  <c r="AN28" i="5"/>
  <c r="L19" i="64" s="1"/>
  <c r="AM28" i="5"/>
  <c r="O22" i="64" s="1"/>
  <c r="AL28" i="5"/>
  <c r="O21" i="64" s="1"/>
  <c r="AK28" i="5"/>
  <c r="O20" i="64" s="1"/>
  <c r="AJ28" i="5"/>
  <c r="G276" i="48" s="1"/>
  <c r="AI28" i="5"/>
  <c r="AH28" i="5"/>
  <c r="F276" i="48" s="1"/>
  <c r="AQ23" i="5"/>
  <c r="AP23" i="5"/>
  <c r="AO23" i="5"/>
  <c r="AN23" i="5"/>
  <c r="AM23" i="5"/>
  <c r="AL23" i="5"/>
  <c r="AK23" i="5"/>
  <c r="AJ23" i="5"/>
  <c r="AI23" i="5"/>
  <c r="AH23" i="5"/>
  <c r="AQ18" i="5"/>
  <c r="S46" i="12" s="1"/>
  <c r="I47" i="12" s="1"/>
  <c r="AP18" i="5"/>
  <c r="S45" i="12" s="1"/>
  <c r="AO18" i="5"/>
  <c r="S44" i="12" s="1"/>
  <c r="AN18" i="5"/>
  <c r="S43" i="12" s="1"/>
  <c r="AM18" i="5"/>
  <c r="AL18" i="5"/>
  <c r="AK18" i="5"/>
  <c r="AJ18" i="5"/>
  <c r="AI18" i="5"/>
  <c r="AH18" i="5"/>
  <c r="AQ13" i="5"/>
  <c r="S46" i="11" s="1"/>
  <c r="I47" i="11" s="1"/>
  <c r="AP13" i="5"/>
  <c r="S45" i="11" s="1"/>
  <c r="AO13" i="5"/>
  <c r="AN13" i="5"/>
  <c r="S43" i="11" s="1"/>
  <c r="AM13" i="5"/>
  <c r="AL13" i="5"/>
  <c r="AK13" i="5"/>
  <c r="AD44" i="11" s="1"/>
  <c r="AJ13" i="5"/>
  <c r="G2" i="48" s="1"/>
  <c r="AI13" i="5"/>
  <c r="AH13" i="5"/>
  <c r="F87" i="48" s="1"/>
  <c r="D6" i="5"/>
  <c r="D5" i="5"/>
  <c r="R16" i="4"/>
  <c r="J27" i="33" s="1"/>
  <c r="Q16" i="4"/>
  <c r="E16" i="4"/>
  <c r="P16" i="4" s="1"/>
  <c r="R13" i="4"/>
  <c r="E13" i="4"/>
  <c r="P13" i="4" s="1"/>
  <c r="E7" i="4"/>
  <c r="D5" i="4"/>
  <c r="D4" i="4"/>
  <c r="O13" i="3"/>
  <c r="M13" i="3" a="1"/>
  <c r="M13" i="3"/>
  <c r="J13" i="3"/>
  <c r="E13" i="3"/>
  <c r="E12" i="3"/>
  <c r="G12" i="3" s="1"/>
  <c r="I13" i="4" s="1"/>
  <c r="Q13" i="4" s="1"/>
  <c r="E4" i="3"/>
  <c r="E59" i="2"/>
  <c r="E49" i="2"/>
  <c r="E41" i="2"/>
  <c r="E31" i="2"/>
  <c r="E27" i="2"/>
  <c r="E26" i="2"/>
  <c r="F25" i="2"/>
  <c r="E22" i="2"/>
  <c r="E21" i="2"/>
  <c r="F20" i="2"/>
  <c r="E19" i="2"/>
  <c r="I9" i="2"/>
  <c r="E3" i="2"/>
  <c r="E2" i="2"/>
  <c r="B5" i="1"/>
  <c r="G51" i="51" l="1"/>
  <c r="H51" i="51"/>
  <c r="G46" i="51"/>
  <c r="H52" i="51"/>
  <c r="H46" i="51"/>
  <c r="H31" i="33"/>
  <c r="H136" i="33" s="1"/>
  <c r="S44" i="24"/>
  <c r="J45" i="24"/>
  <c r="J46" i="30"/>
  <c r="S45" i="30"/>
  <c r="I8" i="39"/>
  <c r="H15" i="34"/>
  <c r="I27" i="40"/>
  <c r="I11" i="37"/>
  <c r="H10" i="45"/>
  <c r="I11" i="38"/>
  <c r="I26" i="33"/>
  <c r="I10" i="50"/>
  <c r="M11" i="35"/>
  <c r="I47" i="18"/>
  <c r="J48" i="18"/>
  <c r="S47" i="14"/>
  <c r="J48" i="14"/>
  <c r="J7" i="15"/>
  <c r="S6" i="15"/>
  <c r="J48" i="11"/>
  <c r="S47" i="11"/>
  <c r="K55" i="19"/>
  <c r="U54" i="19"/>
  <c r="H9" i="45"/>
  <c r="I10" i="38"/>
  <c r="M10" i="35"/>
  <c r="I26" i="40"/>
  <c r="I10" i="37"/>
  <c r="I25" i="33"/>
  <c r="I9" i="50"/>
  <c r="I7" i="39"/>
  <c r="H14" i="34"/>
  <c r="S6" i="27"/>
  <c r="K7" i="27"/>
  <c r="S7" i="27" s="1"/>
  <c r="K8" i="13"/>
  <c r="S8" i="13" s="1"/>
  <c r="S7" i="13"/>
  <c r="S7" i="17"/>
  <c r="K8" i="17"/>
  <c r="S8" i="17" s="1"/>
  <c r="J45" i="23"/>
  <c r="S44" i="23"/>
  <c r="J46" i="31"/>
  <c r="S45" i="31"/>
  <c r="J45" i="27"/>
  <c r="S44" i="27"/>
  <c r="K48" i="25"/>
  <c r="S48" i="25" s="1"/>
  <c r="I46" i="25"/>
  <c r="J47" i="25"/>
  <c r="J7" i="14"/>
  <c r="S6" i="14"/>
  <c r="J45" i="21"/>
  <c r="S44" i="21"/>
  <c r="S47" i="12"/>
  <c r="J48" i="12"/>
  <c r="D37" i="7"/>
  <c r="D38" i="7" s="1"/>
  <c r="D39" i="7" s="1"/>
  <c r="D34" i="7"/>
  <c r="D36" i="7"/>
  <c r="D35" i="7"/>
  <c r="K8" i="11"/>
  <c r="S8" i="11" s="1"/>
  <c r="S7" i="11"/>
  <c r="U7" i="19"/>
  <c r="K8" i="19"/>
  <c r="S44" i="14"/>
  <c r="S44" i="13"/>
  <c r="F90" i="48"/>
  <c r="F273" i="48"/>
  <c r="F212" i="48"/>
  <c r="G90" i="48"/>
  <c r="G27" i="48"/>
  <c r="G273" i="48"/>
  <c r="G212" i="48"/>
  <c r="G151" i="48"/>
  <c r="G221" i="48"/>
  <c r="G99" i="48"/>
  <c r="G288" i="48"/>
  <c r="G227" i="48"/>
  <c r="G105" i="48"/>
  <c r="G294" i="48"/>
  <c r="G233" i="48"/>
  <c r="G172" i="48"/>
  <c r="G111" i="48"/>
  <c r="G236" i="48"/>
  <c r="G175" i="48"/>
  <c r="G51" i="48"/>
  <c r="G297" i="48"/>
  <c r="G120" i="48"/>
  <c r="G57" i="48"/>
  <c r="G303" i="48"/>
  <c r="AC41" i="23"/>
  <c r="G242" i="48"/>
  <c r="G181" i="48"/>
  <c r="G309" i="48"/>
  <c r="G187" i="48"/>
  <c r="G126" i="48"/>
  <c r="G63" i="48"/>
  <c r="G315" i="48"/>
  <c r="G193" i="48"/>
  <c r="G69" i="48"/>
  <c r="G321" i="48"/>
  <c r="G260" i="48"/>
  <c r="G199" i="48"/>
  <c r="G75" i="48"/>
  <c r="G266" i="48"/>
  <c r="G205" i="48"/>
  <c r="G144" i="48"/>
  <c r="G81" i="48"/>
  <c r="AD46" i="29"/>
  <c r="G327" i="48"/>
  <c r="I11" i="50"/>
  <c r="H16" i="34"/>
  <c r="I27" i="33"/>
  <c r="I28" i="40"/>
  <c r="H11" i="45"/>
  <c r="I12" i="38"/>
  <c r="I9" i="39"/>
  <c r="AD45" i="14"/>
  <c r="S5" i="22"/>
  <c r="G42" i="48"/>
  <c r="F123" i="48"/>
  <c r="G48" i="48"/>
  <c r="S6" i="11"/>
  <c r="S6" i="13"/>
  <c r="I47" i="17"/>
  <c r="S6" i="21"/>
  <c r="AC41" i="21"/>
  <c r="AC41" i="22"/>
  <c r="F54" i="48"/>
  <c r="G132" i="48"/>
  <c r="G312" i="48"/>
  <c r="H24" i="34"/>
  <c r="K10" i="50"/>
  <c r="N11" i="35"/>
  <c r="J11" i="37"/>
  <c r="I10" i="45"/>
  <c r="J11" i="38"/>
  <c r="K11" i="50"/>
  <c r="K28" i="40"/>
  <c r="J12" i="37"/>
  <c r="I11" i="45"/>
  <c r="J12" i="38"/>
  <c r="G138" i="48"/>
  <c r="F318" i="48"/>
  <c r="F57" i="48"/>
  <c r="F144" i="48"/>
  <c r="F321" i="48"/>
  <c r="S43" i="13"/>
  <c r="S7" i="16"/>
  <c r="H39" i="43"/>
  <c r="F63" i="48"/>
  <c r="F233" i="48"/>
  <c r="E29" i="51"/>
  <c r="L10" i="54"/>
  <c r="R10" i="54" s="1"/>
  <c r="F151" i="48"/>
  <c r="L21" i="64"/>
  <c r="S45" i="16"/>
  <c r="F279" i="48"/>
  <c r="F157" i="48"/>
  <c r="F96" i="48"/>
  <c r="AD46" i="26"/>
  <c r="H25" i="34"/>
  <c r="I12" i="37"/>
  <c r="I9" i="45"/>
  <c r="J10" i="38"/>
  <c r="H23" i="34"/>
  <c r="K7" i="39"/>
  <c r="K9" i="50"/>
  <c r="N10" i="35"/>
  <c r="J25" i="33"/>
  <c r="J10" i="37"/>
  <c r="G24" i="64"/>
  <c r="L23" i="64"/>
  <c r="F285" i="48"/>
  <c r="F224" i="48"/>
  <c r="F163" i="48"/>
  <c r="F39" i="48"/>
  <c r="F178" i="48"/>
  <c r="F300" i="48"/>
  <c r="F312" i="48"/>
  <c r="F251" i="48"/>
  <c r="F129" i="48"/>
  <c r="F66" i="48"/>
  <c r="F324" i="48"/>
  <c r="F141" i="48"/>
  <c r="F78" i="48"/>
  <c r="G148" i="48"/>
  <c r="G5" i="48"/>
  <c r="G270" i="48"/>
  <c r="G279" i="48"/>
  <c r="G157" i="48"/>
  <c r="G96" i="48"/>
  <c r="G33" i="48"/>
  <c r="G285" i="48"/>
  <c r="G163" i="48"/>
  <c r="G39" i="48"/>
  <c r="G291" i="48"/>
  <c r="G230" i="48"/>
  <c r="G169" i="48"/>
  <c r="G45" i="48"/>
  <c r="G178" i="48"/>
  <c r="G117" i="48"/>
  <c r="G300" i="48"/>
  <c r="G239" i="48"/>
  <c r="G60" i="48"/>
  <c r="G245" i="48"/>
  <c r="G184" i="48"/>
  <c r="G123" i="48"/>
  <c r="G251" i="48"/>
  <c r="G129" i="48"/>
  <c r="G66" i="48"/>
  <c r="G318" i="48"/>
  <c r="G257" i="48"/>
  <c r="G135" i="48"/>
  <c r="G324" i="48"/>
  <c r="AC41" i="28"/>
  <c r="G263" i="48"/>
  <c r="G202" i="48"/>
  <c r="G141" i="48"/>
  <c r="AD43" i="16"/>
  <c r="AC42" i="25"/>
  <c r="K8" i="39"/>
  <c r="K26" i="40"/>
  <c r="G78" i="48"/>
  <c r="G160" i="48"/>
  <c r="G248" i="48"/>
  <c r="E31" i="62"/>
  <c r="E4" i="62"/>
  <c r="F169" i="48"/>
  <c r="F108" i="48"/>
  <c r="F45" i="48"/>
  <c r="S43" i="16"/>
  <c r="AD43" i="11"/>
  <c r="AC41" i="27"/>
  <c r="K7" i="28"/>
  <c r="S7" i="28" s="1"/>
  <c r="G166" i="48"/>
  <c r="G254" i="48"/>
  <c r="F257" i="48"/>
  <c r="F196" i="48"/>
  <c r="F135" i="48"/>
  <c r="K9" i="39"/>
  <c r="K27" i="40"/>
  <c r="F209" i="48"/>
  <c r="F148" i="48"/>
  <c r="F24" i="48"/>
  <c r="F270" i="48"/>
  <c r="F60" i="48"/>
  <c r="F245" i="48"/>
  <c r="F184" i="48"/>
  <c r="S44" i="22"/>
  <c r="S44" i="16"/>
  <c r="G87" i="48"/>
  <c r="F263" i="48"/>
  <c r="J31" i="33"/>
  <c r="J136" i="33" s="1"/>
  <c r="I31" i="33"/>
  <c r="I136" i="33" s="1"/>
  <c r="F93" i="48"/>
  <c r="F190" i="48"/>
  <c r="S7" i="12"/>
  <c r="S46" i="13"/>
  <c r="I47" i="13" s="1"/>
  <c r="S47" i="15"/>
  <c r="AD43" i="17"/>
  <c r="S7" i="18"/>
  <c r="J50" i="20"/>
  <c r="G24" i="48"/>
  <c r="F102" i="48"/>
  <c r="G190" i="48"/>
  <c r="S48" i="15"/>
  <c r="K51" i="20"/>
  <c r="S51" i="20" s="1"/>
  <c r="I6" i="25"/>
  <c r="G102" i="48"/>
  <c r="G196" i="48"/>
  <c r="F282" i="48"/>
  <c r="F221" i="48"/>
  <c r="F99" i="48"/>
  <c r="F36" i="48"/>
  <c r="F294" i="48"/>
  <c r="F111" i="48"/>
  <c r="F48" i="48"/>
  <c r="F309" i="48"/>
  <c r="F187" i="48"/>
  <c r="F126" i="48"/>
  <c r="F199" i="48"/>
  <c r="F138" i="48"/>
  <c r="F75" i="48"/>
  <c r="S46" i="16"/>
  <c r="S45" i="28"/>
  <c r="H49" i="43"/>
  <c r="I48" i="43"/>
  <c r="H48" i="43" s="1"/>
  <c r="F27" i="48"/>
  <c r="G108" i="48"/>
  <c r="F202" i="48"/>
  <c r="G282" i="48"/>
  <c r="F30" i="48"/>
  <c r="F215" i="48"/>
  <c r="F154" i="48"/>
  <c r="F227" i="48"/>
  <c r="F166" i="48"/>
  <c r="F105" i="48"/>
  <c r="F236" i="48"/>
  <c r="F51" i="48"/>
  <c r="F120" i="48"/>
  <c r="F303" i="48"/>
  <c r="F242" i="48"/>
  <c r="F315" i="48"/>
  <c r="F254" i="48"/>
  <c r="F193" i="48"/>
  <c r="F69" i="48"/>
  <c r="F266" i="48"/>
  <c r="F81" i="48"/>
  <c r="AD43" i="12"/>
  <c r="J6" i="24"/>
  <c r="AC41" i="24"/>
  <c r="J7" i="25"/>
  <c r="F33" i="48"/>
  <c r="F114" i="48"/>
  <c r="F205" i="48"/>
  <c r="F288" i="48"/>
  <c r="K8" i="20"/>
  <c r="S8" i="20" s="1"/>
  <c r="I6" i="20"/>
  <c r="AD46" i="32"/>
  <c r="M12" i="35"/>
  <c r="G36" i="48"/>
  <c r="G114" i="48"/>
  <c r="F291" i="48"/>
  <c r="G30" i="48"/>
  <c r="O19" i="64"/>
  <c r="G215" i="48"/>
  <c r="G154" i="48"/>
  <c r="G93" i="48"/>
  <c r="AG42" i="31"/>
  <c r="J26" i="33"/>
  <c r="N12" i="35"/>
  <c r="F42" i="48"/>
  <c r="F117" i="48"/>
  <c r="G209" i="48"/>
  <c r="F297" i="48"/>
  <c r="AA11" i="63"/>
  <c r="E5" i="55"/>
  <c r="AA12" i="63"/>
  <c r="J49" i="51"/>
  <c r="F10" i="55"/>
  <c r="E6" i="62"/>
  <c r="D3" i="39"/>
  <c r="U148" i="63"/>
  <c r="J51" i="51"/>
  <c r="AA15" i="63"/>
  <c r="E35" i="47"/>
  <c r="M148" i="48"/>
  <c r="S45" i="23" l="1"/>
  <c r="K46" i="23"/>
  <c r="S46" i="23" s="1"/>
  <c r="K49" i="18"/>
  <c r="S49" i="18" s="1"/>
  <c r="S48" i="18"/>
  <c r="D41" i="7"/>
  <c r="D40" i="7"/>
  <c r="D43" i="7"/>
  <c r="D44" i="7" s="1"/>
  <c r="D45" i="7" s="1"/>
  <c r="K49" i="12"/>
  <c r="S49" i="12" s="1"/>
  <c r="S48" i="12"/>
  <c r="S47" i="13"/>
  <c r="J48" i="13"/>
  <c r="K49" i="14"/>
  <c r="S49" i="14" s="1"/>
  <c r="S48" i="14"/>
  <c r="H25" i="64"/>
  <c r="L25" i="64" s="1"/>
  <c r="L24" i="64"/>
  <c r="K46" i="21"/>
  <c r="S46" i="21" s="1"/>
  <c r="S45" i="21"/>
  <c r="S7" i="15"/>
  <c r="K8" i="15"/>
  <c r="S8" i="15" s="1"/>
  <c r="S6" i="24"/>
  <c r="K7" i="24"/>
  <c r="S7" i="24" s="1"/>
  <c r="I58" i="43"/>
  <c r="H58" i="43" s="1"/>
  <c r="K8" i="14"/>
  <c r="S8" i="14" s="1"/>
  <c r="S7" i="14"/>
  <c r="J48" i="16"/>
  <c r="I47" i="16"/>
  <c r="K46" i="27"/>
  <c r="S46" i="27" s="1"/>
  <c r="S45" i="27"/>
  <c r="S46" i="30"/>
  <c r="K47" i="30"/>
  <c r="S47" i="30" s="1"/>
  <c r="U55" i="19"/>
  <c r="L56" i="19"/>
  <c r="U56" i="19" s="1"/>
  <c r="K46" i="24"/>
  <c r="S46" i="24" s="1"/>
  <c r="S45" i="24"/>
  <c r="L9" i="19"/>
  <c r="U9" i="19" s="1"/>
  <c r="U8" i="19"/>
  <c r="K47" i="31"/>
  <c r="S47" i="31" s="1"/>
  <c r="S46" i="31"/>
  <c r="K49" i="11"/>
  <c r="S49" i="11" s="1"/>
  <c r="S48" i="11"/>
  <c r="D51" i="7" l="1"/>
  <c r="D49" i="7"/>
  <c r="D48" i="7"/>
  <c r="D46" i="7"/>
  <c r="D47" i="7"/>
  <c r="S48" i="13"/>
  <c r="K49" i="13"/>
  <c r="S49" i="13" s="1"/>
  <c r="S48" i="16"/>
  <c r="K49" i="16"/>
  <c r="S49" i="16"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E37" authorId="0" shapeId="0" xr:uid="{00000000-0006-0000-0100-00000100000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AZ1" authorId="0" shapeId="0" xr:uid="{00000000-0006-0000-3200-000001000000}">
      <text>
        <r>
          <rPr>
            <sz val="9"/>
            <color indexed="81"/>
            <rFont val="Tahoma"/>
            <family val="2"/>
          </rPr>
          <t>Тип организации</t>
        </r>
      </text>
    </comment>
    <comment ref="L6" authorId="0" shapeId="0" xr:uid="{00000000-0006-0000-3200-00000200000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P2" authorId="0" shapeId="0" xr:uid="{00000000-0006-0000-3E00-000001000000}">
      <text>
        <r>
          <rPr>
            <sz val="9"/>
            <color indexed="81"/>
            <rFont val="Arial"/>
            <family val="2"/>
          </rPr>
          <t>сюда же для некоторых формул может входить:
- VOTV
- HOTVSNA</t>
        </r>
      </text>
    </comment>
    <comment ref="U2" authorId="0" shapeId="0" xr:uid="{00000000-0006-0000-3E00-00000200000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<sst xmlns="http://schemas.openxmlformats.org/spreadsheetml/2006/main" count="15331" uniqueCount="3780">
  <si>
    <t xml:space="preserve"> (требуется обновление)</t>
  </si>
  <si>
    <t>Код отчёта: PP110.OPEN.INFO.QUARTER.HEAT.EIAS</t>
  </si>
  <si>
    <t>Версия отчёта: 1.1.1</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</si>
  <si>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</si>
  <si>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</si>
  <si>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</si>
  <si>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</si>
  <si>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</si>
  <si>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</si>
  <si>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</si>
  <si>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</si>
  <si>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</si>
  <si>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</si>
  <si>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27662561</t>
  </si>
  <si>
    <t>Flag_Row_Size</t>
  </si>
  <si>
    <t>Субъект РФ</t>
  </si>
  <si>
    <t>Томская область</t>
  </si>
  <si>
    <t>Состав раскрываемой информации</t>
  </si>
  <si>
    <t>Привлечение к ответственности за указанный период отсутствует</t>
  </si>
  <si>
    <t>нет</t>
  </si>
  <si>
    <t>PRICE, REQUEST</t>
  </si>
  <si>
    <t>Начало_x000D_
периода регулирования</t>
  </si>
  <si>
    <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</si>
  <si>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</si>
  <si>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</si>
  <si>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</si>
  <si>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</si>
  <si>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</si>
  <si>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</si>
  <si>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Дата предоставления информации</t>
  </si>
  <si>
    <t>BALANCE, QUARTER, TERMS</t>
  </si>
  <si>
    <t>Год</t>
  </si>
  <si>
    <t>Отчётный период (год)</t>
  </si>
  <si>
    <t>QUARTER</t>
  </si>
  <si>
    <t>Квартал</t>
  </si>
  <si>
    <t>II 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</si>
  <si>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</si>
  <si>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</si>
  <si>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</si>
  <si>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</si>
  <si>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</si>
  <si>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</si>
  <si>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</si>
  <si>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</si>
  <si>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</si>
  <si>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</si>
  <si>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ООО "Восточная Тепловая компания"</t>
  </si>
  <si>
    <t>Наименование (описание) обособленного подразделения</t>
  </si>
  <si>
    <t>ИНН</t>
  </si>
  <si>
    <t>7014055806</t>
  </si>
  <si>
    <t>КПП</t>
  </si>
  <si>
    <t>701401001</t>
  </si>
  <si>
    <t>Тип теплоснабжающей организации</t>
  </si>
  <si>
    <t>Регулируемая организация</t>
  </si>
  <si>
    <t>Система налогообложения</t>
  </si>
  <si>
    <t>УСН</t>
  </si>
  <si>
    <t>Отсутствует Интернет в границах территории МО, где организация осуществляет регулируемые виды деятельности</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</si>
  <si>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</si>
  <si>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</si>
  <si>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sz val="9"/>
        <rFont val="Tahoma"/>
        <family val="2"/>
        <charset val="204"/>
      </rPr>
      <t>с (!)</t>
    </r>
    <r>
      <rPr>
        <sz val="9"/>
        <rFont val="Tahoma"/>
        <family val="2"/>
        <charset val="204"/>
      </rPr>
      <t xml:space="preserve"> разбивкой по поставщикам</t>
    </r>
  </si>
  <si>
    <r>
      <t xml:space="preserve">Тариф на горячую воду предлагается </t>
    </r>
    <r>
      <rPr>
        <b/>
        <sz val="9"/>
        <rFont val="Tahoma"/>
        <family val="2"/>
        <charset val="204"/>
      </rPr>
      <t>без (!)</t>
    </r>
    <r>
      <rPr>
        <sz val="9"/>
        <rFont val="Tahoma"/>
        <family val="2"/>
        <charset val="204"/>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</si>
  <si>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</si>
  <si>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</si>
  <si>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</si>
  <si>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</si>
  <si>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</si>
  <si>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да</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</si>
  <si>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</si>
  <si>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</si>
  <si>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</si>
  <si>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634061, г. Томск, пер. Нечевский, 20А</t>
  </si>
  <si>
    <t>Фамилия, имя, отчество руководителя</t>
  </si>
  <si>
    <t>Кублинский Андрей Сергеевич</t>
  </si>
  <si>
    <t>Ответственный за заполнение формы</t>
  </si>
  <si>
    <t>Фамилия, имя, отчество</t>
  </si>
  <si>
    <t>Брусниченко А.И.</t>
  </si>
  <si>
    <t>Должность</t>
  </si>
  <si>
    <t>Ведущий экономист</t>
  </si>
  <si>
    <t>Контактный телефон</t>
  </si>
  <si>
    <t>90-15-90 (104)</t>
  </si>
  <si>
    <t>E-mail</t>
  </si>
  <si>
    <t>uev@wigk.ru</t>
  </si>
  <si>
    <t>Flag_Col_Size</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</si>
  <si>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</si>
  <si>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</si>
  <si>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</si>
  <si>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</si>
  <si>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</si>
  <si>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</si>
  <si>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</si>
  <si>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</si>
  <si>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</si>
  <si>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</si>
  <si>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</si>
  <si>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</si>
  <si>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</si>
  <si>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</si>
  <si>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</si>
  <si>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</si>
  <si>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106</t>
  </si>
  <si>
    <t>Томский</t>
  </si>
  <si>
    <t>Заречное</t>
  </si>
  <si>
    <t>69654420</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</si>
  <si>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</si>
  <si>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</si>
  <si>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</si>
  <si>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</si>
  <si>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</si>
  <si>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</si>
  <si>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</si>
  <si>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</si>
  <si>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</si>
  <si>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</si>
  <si>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</si>
  <si>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</si>
  <si>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</si>
  <si>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</si>
  <si>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</si>
  <si>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diff_1</t>
  </si>
  <si>
    <t>4190064; 4190068; 4190070</t>
  </si>
  <si>
    <t>a</t>
  </si>
  <si>
    <t>Добавить централизованную систему</t>
  </si>
  <si>
    <t>Добавить описание территории</t>
  </si>
  <si>
    <t>×</t>
  </si>
  <si>
    <t>diff_5</t>
  </si>
  <si>
    <t>4190067; 4190069; 4190071</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</si>
  <si>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</si>
  <si>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</si>
  <si>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</si>
  <si>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</si>
  <si>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</si>
  <si>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</si>
  <si>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</si>
  <si>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</si>
  <si>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</si>
  <si>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</si>
  <si>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</si>
  <si>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</si>
  <si>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</si>
  <si>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</si>
  <si>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</si>
  <si>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</si>
  <si>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</si>
  <si>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</si>
  <si>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</si>
  <si>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</si>
  <si>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</si>
  <si>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</si>
  <si>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</si>
  <si>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</si>
  <si>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</si>
  <si>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</si>
  <si>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</si>
  <si>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</si>
  <si>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</si>
  <si>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</si>
  <si>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</si>
  <si>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</si>
  <si>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</si>
  <si>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</si>
  <si>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</si>
  <si>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</si>
  <si>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</si>
  <si>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</si>
  <si>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</si>
  <si>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pIns_PT_VTAR_B</t>
  </si>
  <si>
    <t>pt_ntar_2</t>
  </si>
  <si>
    <t>pt_ter_2</t>
  </si>
  <si>
    <t>pt_cs_2</t>
  </si>
  <si>
    <t>pt_ist_te_2</t>
  </si>
  <si>
    <t>Тарифы на тепловую энергию (мощность), поставляемую теплоснабжающими организациями потребителям, другим теплоснабжающим организациям</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</si>
  <si>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</si>
  <si>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</si>
  <si>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</si>
  <si>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</si>
  <si>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</si>
  <si>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</si>
  <si>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</si>
  <si>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</si>
  <si>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</si>
  <si>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</si>
  <si>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</si>
  <si>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</si>
  <si>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</si>
  <si>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</si>
  <si>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</si>
  <si>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</si>
  <si>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</si>
  <si>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</si>
  <si>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</si>
  <si>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</si>
  <si>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</si>
  <si>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</si>
  <si>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</si>
  <si>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</si>
  <si>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</si>
  <si>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</si>
  <si>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</si>
  <si>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</si>
  <si>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</si>
  <si>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</si>
  <si>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</si>
  <si>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</si>
  <si>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</si>
  <si>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</si>
  <si>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</si>
  <si>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</si>
  <si>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(технологическое присоединение) к системе теплоснабжения (индивидуальная)</t>
  </si>
  <si>
    <t>pIns_PT_VTAR_H</t>
  </si>
  <si>
    <t>pt_ntar_20</t>
  </si>
  <si>
    <t>pt_ter_20</t>
  </si>
  <si>
    <t>pt_cs_20</t>
  </si>
  <si>
    <t>pt_ist_te_20</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</si>
  <si>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</si>
  <si>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</si>
  <si>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</si>
  <si>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</si>
  <si>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</si>
  <si>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</si>
  <si>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</si>
  <si>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</si>
  <si>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</si>
  <si>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</si>
  <si>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</si>
  <si>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</si>
  <si>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</si>
  <si>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</si>
  <si>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</si>
  <si>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</si>
  <si>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</si>
  <si>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</si>
  <si>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</si>
  <si>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</si>
  <si>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</si>
  <si>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</si>
  <si>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</si>
  <si>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</si>
  <si>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</si>
  <si>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</si>
  <si>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</si>
  <si>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</si>
  <si>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</si>
  <si>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</si>
  <si>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</si>
  <si>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</si>
  <si>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</si>
  <si>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</si>
  <si>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</si>
  <si>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</si>
  <si>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</si>
  <si>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</si>
  <si>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</si>
  <si>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</si>
  <si>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</si>
  <si>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</si>
  <si>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</si>
  <si>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</si>
  <si>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</si>
  <si>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</si>
  <si>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</si>
  <si>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</si>
  <si>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</si>
  <si>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</si>
  <si>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</si>
  <si>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</si>
  <si>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</si>
  <si>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</si>
  <si>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</si>
  <si>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</si>
  <si>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</si>
  <si>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</si>
  <si>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</si>
  <si>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</si>
  <si>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</si>
  <si>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</si>
  <si>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</si>
  <si>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</si>
  <si>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</si>
  <si>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</si>
  <si>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</si>
  <si>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</si>
  <si>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</si>
  <si>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</si>
  <si>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</si>
  <si>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</si>
  <si>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</si>
  <si>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</si>
  <si>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</si>
  <si>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</si>
  <si>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</si>
  <si>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</si>
  <si>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</si>
  <si>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</si>
  <si>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</si>
  <si>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</si>
  <si>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</si>
  <si>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</si>
  <si>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</si>
  <si>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</si>
  <si>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</si>
  <si>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</si>
  <si>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</si>
  <si>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</si>
  <si>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</si>
  <si>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</si>
  <si>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</si>
  <si>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</si>
  <si>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</si>
  <si>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</si>
  <si>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</si>
  <si>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</si>
  <si>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</si>
  <si>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</si>
  <si>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</si>
  <si>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</si>
  <si>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</si>
  <si>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</si>
  <si>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</si>
  <si>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</si>
  <si>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</si>
  <si>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</si>
  <si>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</si>
  <si>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</si>
  <si>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</si>
  <si>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</si>
  <si>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</si>
  <si>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</si>
  <si>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</si>
  <si>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</si>
  <si>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</si>
  <si>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</si>
  <si>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</si>
  <si>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</si>
  <si>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</si>
  <si>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</si>
  <si>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</si>
  <si>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</si>
  <si>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</si>
  <si>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</si>
  <si>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</si>
  <si>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</si>
  <si>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</si>
  <si>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</si>
  <si>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</si>
  <si>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</si>
  <si>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</si>
  <si>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</si>
  <si>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</si>
  <si>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</si>
  <si>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</si>
  <si>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</si>
  <si>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</si>
  <si>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</si>
  <si>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</si>
  <si>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</si>
  <si>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</si>
  <si>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</si>
  <si>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</si>
  <si>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</si>
  <si>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</si>
  <si>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</si>
  <si>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</si>
  <si>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</si>
  <si>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</si>
  <si>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</si>
  <si>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</si>
  <si>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</si>
  <si>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</si>
  <si>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</si>
  <si>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</si>
  <si>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</si>
  <si>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</si>
  <si>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</si>
  <si>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</si>
  <si>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</si>
  <si>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</si>
  <si>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</si>
  <si>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</si>
  <si>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</si>
  <si>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</si>
  <si>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</si>
  <si>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</si>
  <si>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</si>
  <si>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</si>
  <si>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</si>
  <si>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</si>
  <si>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</si>
  <si>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</si>
  <si>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</si>
  <si>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</si>
  <si>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</si>
  <si>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</si>
  <si>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</si>
  <si>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</si>
  <si>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</si>
  <si>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</si>
  <si>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</si>
  <si>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</si>
  <si>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</si>
  <si>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</si>
  <si>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</si>
  <si>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</si>
  <si>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</si>
  <si>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</si>
  <si>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</si>
  <si>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</si>
  <si>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</si>
  <si>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</si>
  <si>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</si>
  <si>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</si>
  <si>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</si>
  <si>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</si>
  <si>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</si>
  <si>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</si>
  <si>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</si>
  <si>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</si>
  <si>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</si>
  <si>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Добавить источник для дифференциации</t>
  </si>
  <si>
    <t>Добавить централизованную систему для дифференциации</t>
  </si>
  <si>
    <t>Добавить территорию для дифференциации</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</si>
  <si>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</si>
  <si>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</si>
  <si>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</si>
  <si>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</si>
  <si>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</si>
  <si>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</si>
  <si>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</si>
  <si>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</si>
  <si>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</si>
  <si>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</si>
  <si>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</si>
  <si>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</si>
  <si>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</si>
  <si>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</si>
  <si>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</si>
  <si>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</si>
  <si>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</si>
  <si>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</si>
  <si>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</si>
  <si>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</si>
  <si>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</si>
  <si>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</si>
  <si>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</si>
  <si>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</si>
  <si>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</si>
  <si>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</si>
  <si>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</si>
  <si>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</si>
  <si>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</si>
  <si>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</si>
  <si>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</si>
  <si>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Добавить наименование тарифа</t>
  </si>
  <si>
    <t>Период действия</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</si>
  <si>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</si>
  <si>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</si>
  <si>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</si>
  <si>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</si>
  <si>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</si>
  <si>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</si>
  <si>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</si>
  <si>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</si>
  <si>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</si>
  <si>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</si>
  <si>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</si>
  <si>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</si>
  <si>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</si>
  <si>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</si>
  <si>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</si>
  <si>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</si>
  <si>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</si>
  <si>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</si>
  <si>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</si>
  <si>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</si>
  <si>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</si>
  <si>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</si>
  <si>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</si>
  <si>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</si>
  <si>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</si>
  <si>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</si>
  <si>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</si>
  <si>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</si>
  <si>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</si>
  <si>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</si>
  <si>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</si>
  <si>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</si>
  <si>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</si>
  <si>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</si>
  <si>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</si>
  <si>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</si>
  <si>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</si>
  <si>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</si>
  <si>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</si>
  <si>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</si>
  <si>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</si>
  <si>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</si>
  <si>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</si>
  <si>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</si>
  <si>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</si>
  <si>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</si>
  <si>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</si>
  <si>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</si>
  <si>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</si>
  <si>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</si>
  <si>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</si>
  <si>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</si>
  <si>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</si>
  <si>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</si>
  <si>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</si>
  <si>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</si>
  <si>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</si>
  <si>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</si>
  <si>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</si>
  <si>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</si>
  <si>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</si>
  <si>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</si>
  <si>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</si>
  <si>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</si>
  <si>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</si>
  <si>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</si>
  <si>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</si>
  <si>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</si>
  <si>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</si>
  <si>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</si>
  <si>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</si>
  <si>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</si>
  <si>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</si>
  <si>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</si>
  <si>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</si>
  <si>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</si>
  <si>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</si>
  <si>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</si>
  <si>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</si>
  <si>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</si>
  <si>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</si>
  <si>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</si>
  <si>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</si>
  <si>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</si>
  <si>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</si>
  <si>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</si>
  <si>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</si>
  <si>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</si>
  <si>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</si>
  <si>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</si>
  <si>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</si>
  <si>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</si>
  <si>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</si>
  <si>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</si>
  <si>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</si>
  <si>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</si>
  <si>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</si>
  <si>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</si>
  <si>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</si>
  <si>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</si>
  <si>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</si>
  <si>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</si>
  <si>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</si>
  <si>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</si>
  <si>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</si>
  <si>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</si>
  <si>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</si>
  <si>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</si>
  <si>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</si>
  <si>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</si>
  <si>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</si>
  <si>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</si>
  <si>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</si>
  <si>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</si>
  <si>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</si>
  <si>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</si>
  <si>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</si>
  <si>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</si>
  <si>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</si>
  <si>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</si>
  <si>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</si>
  <si>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</si>
  <si>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</si>
  <si>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</si>
  <si>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</si>
  <si>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</si>
  <si>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</si>
  <si>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</si>
  <si>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</si>
  <si>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</si>
  <si>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</si>
  <si>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</si>
  <si>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</si>
  <si>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</si>
  <si>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</si>
  <si>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</si>
  <si>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</si>
  <si>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</si>
  <si>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</si>
  <si>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</si>
  <si>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</si>
  <si>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</si>
  <si>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</si>
  <si>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</si>
  <si>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</si>
  <si>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</si>
  <si>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</si>
  <si>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</si>
  <si>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</si>
  <si>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</si>
  <si>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</si>
  <si>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</si>
  <si>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</si>
  <si>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</si>
  <si>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</si>
  <si>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</si>
  <si>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</si>
  <si>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</si>
  <si>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</si>
  <si>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</si>
  <si>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</si>
  <si>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</si>
  <si>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</si>
  <si>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</si>
  <si>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</si>
  <si>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Добавить поставщика</t>
  </si>
  <si>
    <t>L.HEAT.POWER.DYN</t>
  </si>
  <si>
    <t>Установленная тепловая мощность объекта основных фондов</t>
  </si>
  <si>
    <t>ЧСЛ</t>
  </si>
  <si>
    <t>НОМЕР</t>
  </si>
  <si>
    <t>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</si>
  <si>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</si>
  <si>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</si>
  <si>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</si>
  <si>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</si>
  <si>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</si>
  <si>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</si>
  <si>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Годовая бухгалтерская (финансовая) отчетность</t>
  </si>
  <si>
    <t>СТР</t>
  </si>
  <si>
    <t>Не определено</t>
  </si>
  <si>
    <t>Годовая бухгалтерская (финансовая) отчетность, включая бухгалтерский баланс и приложения к нему</t>
  </si>
  <si>
    <t>p3</t>
  </si>
  <si>
    <t>Указывается ссылка на документ, предварительно загруженный в хранилище файлов ФГИС ЕИАС.</t>
  </si>
  <si>
    <t>L.HEAT.POWER</t>
  </si>
  <si>
    <t>Установленная тепловая мощность объектов основных фондов</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</si>
  <si>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</si>
  <si>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t>
  </si>
  <si>
    <t>2.0</t>
  </si>
  <si>
    <t>L.HEAT.LOAD</t>
  </si>
  <si>
    <t>Тепловая нагрузка по договорам теплоснабжения</t>
  </si>
  <si>
    <t>Информация раскрывается только единой теплоснабжающей организацией в ценовых зонах теплоснабжения.</t>
  </si>
  <si>
    <t>L.VOLUME.ENERGY.PRODUCED</t>
  </si>
  <si>
    <t>Объем вырабатываемой тепловой энергии</t>
  </si>
  <si>
    <t>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</si>
  <si>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</si>
  <si>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Объем приобретаемой тепловой энергии</t>
  </si>
  <si>
    <t>Объем приобретаемой единой теплоснабжающей организацией в ценовых зонах теплоснабжения тепловой энергии</t>
  </si>
  <si>
    <t>L.VOLUME.ENERGY.RELEASED</t>
  </si>
  <si>
    <t>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</si>
  <si>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</si>
  <si>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Указывается общий объем тепловой энергии, отпускаемой потребителям._x000D_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</si>
  <si>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</si>
  <si>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</si>
  <si>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</si>
  <si>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</si>
  <si>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</si>
  <si>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</si>
  <si>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</si>
  <si>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</si>
  <si>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</si>
  <si>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Объем тепловой энергии по нормативам потребления</t>
  </si>
  <si>
    <t>6.3</t>
  </si>
  <si>
    <t>по нормативам потребления коммунальных услуг и нормативам потребления коммунальных ресурсов</t>
  </si>
  <si>
    <t>L.VOLUME.LOSSES.PLAN</t>
  </si>
  <si>
    <t>Плановый объем потерь при передаче тепловой энергии</t>
  </si>
  <si>
    <t xml:space="preserve">тыс. Гкал/год </t>
  </si>
  <si>
    <t>L.VOLUME.LOSSES.FACT</t>
  </si>
  <si>
    <t>Фактический объем потерь при передаче тепловой энергии</t>
  </si>
  <si>
    <t>L.UNIT.COST.PLAN</t>
  </si>
  <si>
    <t>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</si>
  <si>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</si>
  <si>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</si>
  <si>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</si>
  <si>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</si>
  <si>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</si>
  <si>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Среднесписочная численность основного производственного персонала</t>
  </si>
  <si>
    <t>L.ADMINISTRATIVE STAFF</t>
  </si>
  <si>
    <t>Среднесписочная численность административно-управленческого персонала</t>
  </si>
  <si>
    <t>L.UNIT.COST.EE</t>
  </si>
  <si>
    <t>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</si>
  <si>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</si>
  <si>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</si>
  <si>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</si>
  <si>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</si>
  <si>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куб. м/Гкал</t>
  </si>
  <si>
    <t>L.CONDITION.INFO</t>
  </si>
  <si>
    <t>Информация о показателях технико-экономического состояния систем теплоснабжения</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</si>
  <si>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</si>
  <si>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</si>
  <si>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Прочие стандарты</t>
  </si>
  <si>
    <t>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</si>
  <si>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</si>
  <si>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Стандарты качества обслуживания</t>
  </si>
  <si>
    <t>Стандарты качества обслуживания единой теплоснабжающей организацией в ценовых зонах теплоснабжения потребителей тепловой энергии</t>
  </si>
  <si>
    <t>Информация включает сведения о месте их опубликования.</t>
  </si>
  <si>
    <t>L.STANDARDS.INTERACTION</t>
  </si>
  <si>
    <t>Стандарты взаимодействия</t>
  </si>
  <si>
    <t>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</si>
  <si>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</si>
  <si>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Информация о выполнении соглашения</t>
  </si>
  <si>
    <t>Информация о выполнении соглашения об исполнении схемы теплоснабжения</t>
  </si>
  <si>
    <t>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</si>
  <si>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Добавить стандарты</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</si>
  <si>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</si>
  <si>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</si>
  <si>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</si>
  <si>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</si>
  <si>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</si>
  <si>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</si>
  <si>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</si>
  <si>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</si>
  <si>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</si>
  <si>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</si>
  <si>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</si>
  <si>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</si>
  <si>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</si>
  <si>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</si>
  <si>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</si>
  <si>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</si>
  <si>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</si>
  <si>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</si>
  <si>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</si>
  <si>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</si>
  <si>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</si>
  <si>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</si>
  <si>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</si>
  <si>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</si>
  <si>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</si>
  <si>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</si>
  <si>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</si>
  <si>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</si>
  <si>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</si>
  <si>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</si>
  <si>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</si>
  <si>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</si>
  <si>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</si>
  <si>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</si>
  <si>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</si>
  <si>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</si>
  <si>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</si>
  <si>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</si>
  <si>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</si>
  <si>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</si>
  <si>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</si>
  <si>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</si>
  <si>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</si>
  <si>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</si>
  <si>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</si>
  <si>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</si>
  <si>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</si>
  <si>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</si>
  <si>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</si>
  <si>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</si>
  <si>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</si>
  <si>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</si>
  <si>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</si>
  <si>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</si>
  <si>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</si>
  <si>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</si>
  <si>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</si>
  <si>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</si>
  <si>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</si>
  <si>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</si>
  <si>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</si>
  <si>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</si>
  <si>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</si>
  <si>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</si>
  <si>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</si>
  <si>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</si>
  <si>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</si>
  <si>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</si>
  <si>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</si>
  <si>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</si>
  <si>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</si>
  <si>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</si>
  <si>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</si>
  <si>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</si>
  <si>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</si>
  <si>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</si>
  <si>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</si>
  <si>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</si>
  <si>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</si>
  <si>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</si>
  <si>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</si>
  <si>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</si>
  <si>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</si>
  <si>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</si>
  <si>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</si>
  <si>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</si>
  <si>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</si>
  <si>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</si>
  <si>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</si>
  <si>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</si>
  <si>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</si>
  <si>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</si>
  <si>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</si>
  <si>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</si>
  <si>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</si>
  <si>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</si>
  <si>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</si>
  <si>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</si>
  <si>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</si>
  <si>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</si>
  <si>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</si>
  <si>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</si>
  <si>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</si>
  <si>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</si>
  <si>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</si>
  <si>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</si>
  <si>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</si>
  <si>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</si>
  <si>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</si>
  <si>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</si>
  <si>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</si>
  <si>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</si>
  <si>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</si>
  <si>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</si>
  <si>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</si>
  <si>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</si>
  <si>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</si>
  <si>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</si>
  <si>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</si>
  <si>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</si>
  <si>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</si>
  <si>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</si>
  <si>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</si>
  <si>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</si>
  <si>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</si>
  <si>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</si>
  <si>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</si>
  <si>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</si>
  <si>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</si>
  <si>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</si>
  <si>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</si>
  <si>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</si>
  <si>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</si>
  <si>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</si>
  <si>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</si>
  <si>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</si>
  <si>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</si>
  <si>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</si>
  <si>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</si>
  <si>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</si>
  <si>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</si>
  <si>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</si>
  <si>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</si>
  <si>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</si>
  <si>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</si>
  <si>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</si>
  <si>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</si>
  <si>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</si>
  <si>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</si>
  <si>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</si>
  <si>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</si>
  <si>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</si>
  <si>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</si>
  <si>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</si>
  <si>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</si>
  <si>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</si>
  <si>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</si>
  <si>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</si>
  <si>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</si>
  <si>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</si>
  <si>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</si>
  <si>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</si>
  <si>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</si>
  <si>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</si>
  <si>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</si>
  <si>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</si>
  <si>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</si>
  <si>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</si>
  <si>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</si>
  <si>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</si>
  <si>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</si>
  <si>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</si>
  <si>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</si>
  <si>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</si>
  <si>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</si>
  <si>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</si>
  <si>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</si>
  <si>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</si>
  <si>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</si>
  <si>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</si>
  <si>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</si>
  <si>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</si>
  <si>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</si>
  <si>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</si>
  <si>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</si>
  <si>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</si>
  <si>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</si>
  <si>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</si>
  <si>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</si>
  <si>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</si>
  <si>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</si>
  <si>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</si>
  <si>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</si>
  <si>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</si>
  <si>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</si>
  <si>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</si>
  <si>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</si>
  <si>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</si>
  <si>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</si>
  <si>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</si>
  <si>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</si>
  <si>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</si>
  <si>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</si>
  <si>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</si>
  <si>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</si>
  <si>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</si>
  <si>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</si>
  <si>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</si>
  <si>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</si>
  <si>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</si>
  <si>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</si>
  <si>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</si>
  <si>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</si>
  <si>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</si>
  <si>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</si>
  <si>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</si>
  <si>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</si>
  <si>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</si>
  <si>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</si>
  <si>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</si>
  <si>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</si>
  <si>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</si>
  <si>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</si>
  <si>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</si>
  <si>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</si>
  <si>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</si>
  <si>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</si>
  <si>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</si>
  <si>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</si>
  <si>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</si>
  <si>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</si>
  <si>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</si>
  <si>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</si>
  <si>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</si>
  <si>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</si>
  <si>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</si>
  <si>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</si>
  <si>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</si>
  <si>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</si>
  <si>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</si>
  <si>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</si>
  <si>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</si>
  <si>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</si>
  <si>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</si>
  <si>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</si>
  <si>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</si>
  <si>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</si>
  <si>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</si>
  <si>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</si>
  <si>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</si>
  <si>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</si>
  <si>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</si>
  <si>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</si>
  <si>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</si>
  <si>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</si>
  <si>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</si>
  <si>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</si>
  <si>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</si>
  <si>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</si>
  <si>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</si>
  <si>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</si>
  <si>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</si>
  <si>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</si>
  <si>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</si>
  <si>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</si>
  <si>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</si>
  <si>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</si>
  <si>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</si>
  <si>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</si>
  <si>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</si>
  <si>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</si>
  <si>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</si>
  <si>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</si>
  <si>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</si>
  <si>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</si>
  <si>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</si>
  <si>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</si>
  <si>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</si>
  <si>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</si>
  <si>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</si>
  <si>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</si>
  <si>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</si>
  <si>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</si>
  <si>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</si>
  <si>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</si>
  <si>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</si>
  <si>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</si>
  <si>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</si>
  <si>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</si>
  <si>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</si>
  <si>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</si>
  <si>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</si>
  <si>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</si>
  <si>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</si>
  <si>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</si>
  <si>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</si>
  <si>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</si>
  <si>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</si>
  <si>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</si>
  <si>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</si>
  <si>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</si>
  <si>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</si>
  <si>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</si>
  <si>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</si>
  <si>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</si>
  <si>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</si>
  <si>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</si>
  <si>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</si>
  <si>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</si>
  <si>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</si>
  <si>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</si>
  <si>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</si>
  <si>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vertAlign val="superscript"/>
        <sz val="9"/>
        <rFont val="Tahoma"/>
        <family val="2"/>
        <charset val="204"/>
      </rPr>
      <t>1</t>
    </r>
    <r>
      <rPr>
        <sz val="9"/>
        <rFont val="Tahoma"/>
        <family val="2"/>
        <charset val="204"/>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</si>
  <si>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</si>
  <si>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</si>
  <si>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</si>
  <si>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</si>
  <si>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</si>
  <si>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</si>
  <si>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</si>
  <si>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</si>
  <si>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</si>
  <si>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</si>
  <si>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</si>
  <si>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</si>
  <si>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</si>
  <si>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</si>
  <si>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</si>
  <si>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</si>
  <si>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</si>
  <si>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</si>
  <si>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</si>
  <si>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</si>
  <si>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</si>
  <si>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</si>
  <si>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</si>
  <si>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</si>
  <si>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</si>
  <si>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</si>
  <si>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</si>
  <si>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</si>
  <si>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</si>
  <si>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</si>
  <si>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</si>
  <si>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</si>
  <si>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</si>
  <si>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</si>
  <si>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</si>
  <si>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</si>
  <si>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</si>
  <si>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</si>
  <si>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</si>
  <si>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</si>
  <si>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</si>
  <si>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</si>
  <si>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</si>
  <si>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</si>
  <si>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</si>
  <si>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</si>
  <si>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</si>
  <si>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</si>
  <si>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</si>
  <si>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</si>
  <si>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</si>
  <si>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</si>
  <si>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</si>
  <si>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</si>
  <si>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</si>
  <si>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</si>
  <si>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</si>
  <si>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</si>
  <si>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</si>
  <si>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</si>
  <si>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</si>
  <si>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</si>
  <si>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</si>
  <si>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</si>
  <si>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</si>
  <si>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</si>
  <si>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</si>
  <si>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</si>
  <si>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</si>
  <si>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</si>
  <si>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</si>
  <si>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</si>
  <si>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</si>
  <si>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</si>
  <si>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</si>
  <si>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</si>
  <si>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</si>
  <si>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</si>
  <si>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</si>
  <si>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</si>
  <si>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</si>
  <si>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</si>
  <si>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</si>
  <si>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</si>
  <si>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</si>
  <si>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</si>
  <si>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</si>
  <si>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</si>
  <si>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</si>
  <si>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</si>
  <si>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</si>
  <si>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</si>
  <si>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</si>
  <si>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</si>
  <si>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</si>
  <si>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</si>
  <si>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</si>
  <si>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</si>
  <si>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</si>
  <si>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</si>
  <si>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</si>
  <si>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д. Кисловка</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</si>
  <si>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</si>
  <si>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</si>
  <si>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</si>
  <si>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</si>
  <si>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</si>
  <si>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</si>
  <si>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</si>
  <si>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</si>
  <si>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</si>
  <si>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</si>
  <si>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</si>
  <si>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</si>
  <si>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</si>
  <si>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</si>
  <si>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</si>
  <si>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</si>
  <si>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</si>
  <si>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</si>
  <si>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</si>
  <si>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</si>
  <si>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</si>
  <si>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</si>
  <si>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</si>
  <si>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</si>
  <si>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</si>
  <si>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</si>
  <si>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</si>
  <si>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</si>
  <si>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</si>
  <si>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</si>
  <si>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</si>
  <si>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</si>
  <si>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</si>
  <si>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</si>
  <si>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</si>
  <si>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</si>
  <si>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</si>
  <si>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</si>
  <si>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</si>
  <si>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</si>
  <si>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</si>
  <si>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</si>
  <si>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</si>
  <si>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</si>
  <si>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</si>
  <si>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</si>
  <si>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</si>
  <si>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</si>
  <si>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</si>
  <si>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</si>
  <si>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</si>
  <si>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</si>
  <si>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</si>
  <si>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</si>
  <si>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</si>
  <si>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</si>
  <si>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</si>
  <si>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</si>
  <si>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</si>
  <si>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</si>
  <si>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</si>
  <si>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</si>
  <si>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</si>
  <si>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</si>
  <si>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</si>
  <si>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</si>
  <si>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</si>
  <si>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</si>
  <si>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</si>
  <si>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</si>
  <si>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</si>
  <si>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</si>
  <si>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</si>
  <si>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</si>
  <si>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</si>
  <si>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</si>
  <si>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</si>
  <si>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</si>
  <si>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</si>
  <si>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</si>
  <si>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</si>
  <si>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</si>
  <si>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</si>
  <si>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</si>
  <si>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</si>
  <si>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</si>
  <si>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</si>
  <si>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</si>
  <si>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</si>
  <si>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</si>
  <si>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</si>
  <si>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</si>
  <si>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</si>
  <si>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ОСН</t>
  </si>
  <si>
    <t>тыс.куб.м/сутки</t>
  </si>
  <si>
    <t>метод экономически обоснованных расходов (затрат)</t>
  </si>
  <si>
    <t>Передача+Сбыт</t>
  </si>
  <si>
    <t>вода</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</si>
  <si>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</si>
  <si>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</si>
  <si>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</si>
  <si>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</si>
  <si>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</si>
  <si>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</si>
  <si>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</si>
  <si>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</si>
  <si>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</si>
  <si>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</si>
  <si>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</si>
  <si>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</si>
  <si>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</si>
  <si>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</si>
  <si>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</si>
  <si>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газ природный по регулируемой цене</t>
  </si>
  <si>
    <t>тыс м3</t>
  </si>
  <si>
    <t>Январь</t>
  </si>
  <si>
    <t>Амурская область</t>
  </si>
  <si>
    <t>февраль</t>
  </si>
  <si>
    <t>На сайте регулирующего органа</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</si>
  <si>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</si>
  <si>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</si>
  <si>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</si>
  <si>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</si>
  <si>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</si>
  <si>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</si>
  <si>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</si>
  <si>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</si>
  <si>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</si>
  <si>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</si>
  <si>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</si>
  <si>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</si>
  <si>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</si>
  <si>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</si>
  <si>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</si>
  <si>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</si>
  <si>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</si>
  <si>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</si>
  <si>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</si>
  <si>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</si>
  <si>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</si>
  <si>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</si>
  <si>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</si>
  <si>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</si>
  <si>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</si>
  <si>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</si>
  <si>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</si>
  <si>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</si>
  <si>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</si>
  <si>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</si>
  <si>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</si>
  <si>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</si>
  <si>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</si>
  <si>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</si>
  <si>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</si>
  <si>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</si>
  <si>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</si>
  <si>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</si>
  <si>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</si>
  <si>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</si>
  <si>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</si>
  <si>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</si>
  <si>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</si>
  <si>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</si>
  <si>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</si>
  <si>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</si>
  <si>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</si>
  <si>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</si>
  <si>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</si>
  <si>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</si>
  <si>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</si>
  <si>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</si>
  <si>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</si>
  <si>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</si>
  <si>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</si>
  <si>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</si>
  <si>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</si>
  <si>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</si>
  <si>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</si>
  <si>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</si>
  <si>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</si>
  <si>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</si>
  <si>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</si>
  <si>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</si>
  <si>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</si>
  <si>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</si>
  <si>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</si>
  <si>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</si>
  <si>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</si>
  <si>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</si>
  <si>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</si>
  <si>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</si>
  <si>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</si>
  <si>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</si>
  <si>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</si>
  <si>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</si>
  <si>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</si>
  <si>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</si>
  <si>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</si>
  <si>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</si>
  <si>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</si>
  <si>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</si>
  <si>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</si>
  <si>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</si>
  <si>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</si>
  <si>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</si>
  <si>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</si>
  <si>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</si>
  <si>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</si>
  <si>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</si>
  <si>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</si>
  <si>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</si>
  <si>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</si>
  <si>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</si>
  <si>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</si>
  <si>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</si>
  <si>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</si>
  <si>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</si>
  <si>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</si>
  <si>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</si>
  <si>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</si>
  <si>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</si>
  <si>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</si>
  <si>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</si>
  <si>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</si>
  <si>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</si>
  <si>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</si>
  <si>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</si>
  <si>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</si>
  <si>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</si>
  <si>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</si>
  <si>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</si>
  <si>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</si>
  <si>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</si>
  <si>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</si>
  <si>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</si>
  <si>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</si>
  <si>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</si>
  <si>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</si>
  <si>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</si>
  <si>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</si>
  <si>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</si>
  <si>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</si>
  <si>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</si>
  <si>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</si>
  <si>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</si>
  <si>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</si>
  <si>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</si>
  <si>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</si>
  <si>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</si>
  <si>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</si>
  <si>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</si>
  <si>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</si>
  <si>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</si>
  <si>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</si>
  <si>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</si>
  <si>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</si>
  <si>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</si>
  <si>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</si>
  <si>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</si>
  <si>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</si>
  <si>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</si>
  <si>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</si>
  <si>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</si>
  <si>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</si>
  <si>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</si>
  <si>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</si>
  <si>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</si>
  <si>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</si>
  <si>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</si>
  <si>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</si>
  <si>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</si>
  <si>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</si>
  <si>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</si>
  <si>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</si>
  <si>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</si>
  <si>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</si>
  <si>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</si>
  <si>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</si>
  <si>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</si>
  <si>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</si>
  <si>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</si>
  <si>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</si>
  <si>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</si>
  <si>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</si>
  <si>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</si>
  <si>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</si>
  <si>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</si>
  <si>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</si>
  <si>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</si>
  <si>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</si>
  <si>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</si>
  <si>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</si>
  <si>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</si>
  <si>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</si>
  <si>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</si>
  <si>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</si>
  <si>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</si>
  <si>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</si>
  <si>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</si>
  <si>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</si>
  <si>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</si>
  <si>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</si>
  <si>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</si>
  <si>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</si>
  <si>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</si>
  <si>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</si>
  <si>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</si>
  <si>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</si>
  <si>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</si>
  <si>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</si>
  <si>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</si>
  <si>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</si>
  <si>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</si>
  <si>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</si>
  <si>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</si>
  <si>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</si>
  <si>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</si>
  <si>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</si>
  <si>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</si>
  <si>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</si>
  <si>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</si>
  <si>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</si>
  <si>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</si>
  <si>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</si>
  <si>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</si>
  <si>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</si>
  <si>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</si>
  <si>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</si>
  <si>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</si>
  <si>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</si>
  <si>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</si>
  <si>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</si>
  <si>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</si>
  <si>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</si>
  <si>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</si>
  <si>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</si>
  <si>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</si>
  <si>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</si>
  <si>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</si>
  <si>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</si>
  <si>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</si>
  <si>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</si>
  <si>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</si>
  <si>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</si>
  <si>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</si>
  <si>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</si>
  <si>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</si>
  <si>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</si>
  <si>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</si>
  <si>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</si>
  <si>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</si>
  <si>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</si>
  <si>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</si>
  <si>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</si>
  <si>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</si>
  <si>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</si>
  <si>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</si>
  <si>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</si>
  <si>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</si>
  <si>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</si>
  <si>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</si>
  <si>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Тарифы на тепло для REQUEST.HEAT_x000D_
/kind_of_tariff_RHEAT/</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</si>
  <si>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</si>
  <si>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</si>
  <si>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</si>
  <si>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</si>
  <si>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</si>
  <si>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</si>
  <si>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</si>
  <si>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</si>
  <si>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</si>
  <si>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</si>
  <si>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</si>
  <si>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</si>
  <si>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</si>
  <si>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</si>
  <si>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</si>
  <si>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</si>
  <si>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</si>
  <si>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</si>
  <si>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</si>
  <si>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</si>
  <si>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</si>
  <si>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</si>
  <si>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</si>
  <si>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</si>
  <si>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</si>
  <si>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</si>
  <si>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</si>
  <si>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</si>
  <si>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</si>
  <si>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</si>
  <si>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</si>
  <si>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</si>
  <si>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</si>
  <si>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</si>
  <si>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</si>
  <si>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</si>
  <si>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</si>
  <si>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</si>
  <si>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</si>
  <si>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</si>
  <si>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</si>
  <si>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</si>
  <si>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</si>
  <si>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</si>
  <si>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</si>
  <si>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</si>
  <si>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</si>
  <si>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</si>
  <si>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</si>
  <si>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</si>
  <si>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</si>
  <si>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</si>
  <si>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</si>
  <si>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</si>
  <si>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</si>
  <si>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</si>
  <si>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</si>
  <si>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</si>
  <si>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</si>
  <si>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</si>
  <si>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</si>
  <si>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</si>
  <si>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</si>
  <si>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</si>
  <si>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</si>
  <si>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</si>
  <si>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</si>
  <si>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</si>
  <si>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</si>
  <si>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</si>
  <si>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</si>
  <si>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</si>
  <si>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</si>
  <si>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</si>
  <si>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</si>
  <si>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</si>
  <si>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</si>
  <si>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</si>
  <si>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</si>
  <si>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</si>
  <si>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</si>
  <si>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</si>
  <si>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</si>
  <si>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</si>
  <si>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</si>
  <si>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</si>
  <si>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</si>
  <si>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</si>
  <si>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</si>
  <si>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</si>
  <si>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</si>
  <si>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</si>
  <si>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</si>
  <si>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</si>
  <si>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</si>
  <si>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</si>
  <si>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</si>
  <si>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</si>
  <si>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</si>
  <si>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</si>
  <si>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</si>
  <si>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</si>
  <si>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</si>
  <si>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</si>
  <si>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</si>
  <si>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</si>
  <si>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</si>
  <si>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</si>
  <si>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</si>
  <si>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</si>
  <si>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</si>
  <si>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</si>
  <si>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</si>
  <si>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</si>
  <si>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</si>
  <si>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</si>
  <si>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</si>
  <si>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</si>
  <si>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</si>
  <si>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</si>
  <si>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</si>
  <si>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</si>
  <si>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</si>
  <si>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</si>
  <si>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</si>
  <si>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</si>
  <si>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</si>
  <si>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</si>
  <si>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</si>
  <si>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</si>
  <si>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</si>
  <si>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</si>
  <si>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</si>
  <si>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</si>
  <si>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</si>
  <si>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</si>
  <si>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</si>
  <si>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</si>
  <si>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</si>
  <si>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</si>
  <si>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</si>
  <si>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</si>
  <si>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</si>
  <si>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</si>
  <si>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</si>
  <si>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</si>
  <si>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</si>
  <si>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</si>
  <si>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</si>
  <si>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</si>
  <si>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</si>
  <si>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</si>
  <si>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</si>
  <si>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</si>
  <si>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</si>
  <si>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</si>
  <si>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</si>
  <si>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</si>
  <si>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</si>
  <si>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Q</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</si>
  <si>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</si>
  <si>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</si>
  <si>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</si>
  <si>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</si>
  <si>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</si>
  <si>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</si>
  <si>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</si>
  <si>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</si>
  <si>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</si>
  <si>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</si>
  <si>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</si>
  <si>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</si>
  <si>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</si>
  <si>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</si>
  <si>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</si>
  <si>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</si>
  <si>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</si>
  <si>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</si>
  <si>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</si>
  <si>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</si>
  <si>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</si>
  <si>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</si>
  <si>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</si>
  <si>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</si>
  <si>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</si>
  <si>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</si>
  <si>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</si>
  <si>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</si>
  <si>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</si>
  <si>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</si>
  <si>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</si>
  <si>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</si>
  <si>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</si>
  <si>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P</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</si>
  <si>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</si>
  <si>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</si>
  <si>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</si>
  <si>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</si>
  <si>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</si>
  <si>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</si>
  <si>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</si>
  <si>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</si>
  <si>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</si>
  <si>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</si>
  <si>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</si>
  <si>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</si>
  <si>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</si>
  <si>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</si>
  <si>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</si>
  <si>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</si>
  <si>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</si>
  <si>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</si>
  <si>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</si>
  <si>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</si>
  <si>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</si>
  <si>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</si>
  <si>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</si>
  <si>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</si>
  <si>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</si>
  <si>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</si>
  <si>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</si>
  <si>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</si>
  <si>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</si>
  <si>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</si>
  <si>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</si>
  <si>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</si>
  <si>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</si>
  <si>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</si>
  <si>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</si>
  <si>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</si>
  <si>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</si>
  <si>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</si>
  <si>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</si>
  <si>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</si>
  <si>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</si>
  <si>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</si>
  <si>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</si>
  <si>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</si>
  <si>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</si>
  <si>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</si>
  <si>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</si>
  <si>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</si>
  <si>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</si>
  <si>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</si>
  <si>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</si>
  <si>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</si>
  <si>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</si>
  <si>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</si>
  <si>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</si>
  <si>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</si>
  <si>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</si>
  <si>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</si>
  <si>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</si>
  <si>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</si>
  <si>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</si>
  <si>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</si>
  <si>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</si>
  <si>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</si>
  <si>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</si>
  <si>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</si>
  <si>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</si>
  <si>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</si>
  <si>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</si>
  <si>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</si>
  <si>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</si>
  <si>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</si>
  <si>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</si>
  <si>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</si>
  <si>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</si>
  <si>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</si>
  <si>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</si>
  <si>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</si>
  <si>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</si>
  <si>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</si>
  <si>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</si>
  <si>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</si>
  <si>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</si>
  <si>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</si>
  <si>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</si>
  <si>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</si>
  <si>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</si>
  <si>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</si>
  <si>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</si>
  <si>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</si>
  <si>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</si>
  <si>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</si>
  <si>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</si>
  <si>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</si>
  <si>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</si>
  <si>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</si>
  <si>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</si>
  <si>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</si>
  <si>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</si>
  <si>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</si>
  <si>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</si>
  <si>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</si>
  <si>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</si>
  <si>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</si>
  <si>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</si>
  <si>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</si>
  <si>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</si>
  <si>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</si>
  <si>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</si>
  <si>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</si>
  <si>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</si>
  <si>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</si>
  <si>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</si>
  <si>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</si>
  <si>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</si>
  <si>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</si>
  <si>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</si>
  <si>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</si>
  <si>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</si>
  <si>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</si>
  <si>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</si>
  <si>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</si>
  <si>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</si>
  <si>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</si>
  <si>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</si>
  <si>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</si>
  <si>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</si>
  <si>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</si>
  <si>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</si>
  <si>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</si>
  <si>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</si>
  <si>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</si>
  <si>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</si>
  <si>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</si>
  <si>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</si>
  <si>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</si>
  <si>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</si>
  <si>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</si>
  <si>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</si>
  <si>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</si>
  <si>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</si>
  <si>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</si>
  <si>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</si>
  <si>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</si>
  <si>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</si>
  <si>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</si>
  <si>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</si>
  <si>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</si>
  <si>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</si>
  <si>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</si>
  <si>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</si>
  <si>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</si>
  <si>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</si>
  <si>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</si>
  <si>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</si>
  <si>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</si>
  <si>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</si>
  <si>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</si>
  <si>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</si>
  <si>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</si>
  <si>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</si>
  <si>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</si>
  <si>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</si>
  <si>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</si>
  <si>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</si>
  <si>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</si>
  <si>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</si>
  <si>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</si>
  <si>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</si>
  <si>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тыс.руб.</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</si>
  <si>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</si>
  <si>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</si>
  <si>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</si>
  <si>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</si>
  <si>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</si>
  <si>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</si>
  <si>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</si>
  <si>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</si>
  <si>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</si>
  <si>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</si>
  <si>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</si>
  <si>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</si>
  <si>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</si>
  <si>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</si>
  <si>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</si>
  <si>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</si>
  <si>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</si>
  <si>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</si>
  <si>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</si>
  <si>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</si>
  <si>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</si>
  <si>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</si>
  <si>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</si>
  <si>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</si>
  <si>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</si>
  <si>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</si>
  <si>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</si>
  <si>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</si>
  <si>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</si>
  <si>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</si>
  <si>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</si>
  <si>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</si>
  <si>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</si>
  <si>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</si>
  <si>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</si>
  <si>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</si>
  <si>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</si>
  <si>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</si>
  <si>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</si>
  <si>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</si>
  <si>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</si>
  <si>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</si>
  <si>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</si>
  <si>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vertAlign val="superscript"/>
        <sz val="9"/>
        <rFont val="Tahoma"/>
        <family val="2"/>
        <charset val="204"/>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</si>
  <si>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</si>
  <si>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</si>
  <si>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</si>
  <si>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</si>
  <si>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</si>
  <si>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vertAlign val="superscript"/>
        <sz val="9"/>
        <rFont val="Tahoma"/>
        <family val="2"/>
        <charset val="204"/>
      </rPr>
      <t>2</t>
    </r>
    <r>
      <rPr>
        <sz val="9"/>
        <rFont val="Tahoma"/>
        <family val="2"/>
        <charset val="204"/>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</si>
  <si>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</si>
  <si>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</si>
  <si>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</si>
  <si>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</si>
  <si>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</si>
  <si>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</si>
  <si>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</si>
  <si>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</si>
  <si>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</si>
  <si>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</si>
  <si>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</si>
  <si>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</si>
  <si>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</si>
  <si>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</si>
  <si>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</si>
  <si>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</si>
  <si>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</si>
  <si>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</si>
  <si>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</si>
  <si>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</si>
  <si>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</si>
  <si>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</si>
  <si>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</si>
  <si>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</si>
  <si>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</si>
  <si>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Добавить реквизиты</t>
  </si>
  <si>
    <t>et_IP_MAIN_PROPERTY</t>
  </si>
  <si>
    <t>et_IP_DETAILED</t>
  </si>
  <si>
    <t>Добавить мероприятие</t>
  </si>
  <si>
    <t>et_IP_DETAILED_OBJECT</t>
  </si>
  <si>
    <t>Добавить источник финансирования</t>
  </si>
  <si>
    <t>et_IP_DETAILED_IST_FIN</t>
  </si>
  <si>
    <t>et_IP_DETAILED_EVENT</t>
  </si>
  <si>
    <t>Добавить объект инфраструктуры</t>
  </si>
  <si>
    <t>et_QRE</t>
  </si>
  <si>
    <t>Добавить цель</t>
  </si>
  <si>
    <t>et_B_FHD20_1_NOT_HEAT</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</si>
  <si>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</si>
  <si>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</si>
  <si>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</si>
  <si>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</si>
  <si>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</si>
  <si>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</si>
  <si>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</si>
  <si>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</si>
  <si>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</si>
  <si>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</si>
  <si>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</si>
  <si>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</si>
  <si>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</si>
  <si>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</si>
  <si>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</si>
  <si>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</si>
  <si>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</si>
  <si>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</si>
  <si>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</si>
  <si>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</si>
  <si>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</si>
  <si>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</si>
  <si>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</si>
  <si>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</si>
  <si>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</si>
  <si>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</si>
  <si>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</si>
  <si>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</si>
  <si>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</si>
  <si>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</si>
  <si>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</si>
  <si>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</si>
  <si>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</si>
  <si>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</si>
  <si>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</si>
  <si>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</si>
  <si>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</si>
  <si>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</si>
  <si>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</si>
  <si>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</si>
  <si>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</si>
  <si>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</si>
  <si>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</si>
  <si>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</si>
  <si>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</si>
  <si>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</si>
  <si>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</si>
  <si>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</si>
  <si>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</si>
  <si>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</si>
  <si>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</si>
  <si>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</si>
  <si>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</si>
  <si>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</si>
  <si>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</si>
  <si>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</si>
  <si>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</si>
  <si>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</si>
  <si>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</si>
  <si>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</si>
  <si>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</si>
  <si>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</si>
  <si>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</si>
  <si>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</si>
  <si>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</si>
  <si>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</si>
  <si>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</si>
  <si>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</si>
  <si>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</si>
  <si>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</si>
  <si>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</si>
  <si>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</si>
  <si>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</si>
  <si>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</si>
  <si>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</si>
  <si>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</si>
  <si>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</si>
  <si>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</si>
  <si>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</si>
  <si>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</si>
  <si>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</si>
  <si>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</si>
  <si>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</si>
  <si>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</si>
  <si>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</si>
  <si>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</si>
  <si>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</si>
  <si>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</si>
  <si>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</si>
  <si>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</si>
  <si>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</si>
  <si>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</si>
  <si>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</si>
  <si>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</si>
  <si>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</si>
  <si>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</si>
  <si>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</si>
  <si>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</si>
  <si>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</si>
  <si>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</si>
  <si>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</si>
  <si>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</si>
  <si>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</si>
  <si>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</si>
  <si>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</si>
  <si>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</si>
  <si>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</si>
  <si>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</si>
  <si>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</si>
  <si>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</si>
  <si>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</si>
  <si>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</si>
  <si>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</si>
  <si>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</si>
  <si>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</si>
  <si>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</si>
  <si>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</si>
  <si>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</si>
  <si>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</si>
  <si>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</si>
  <si>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</si>
  <si>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</si>
  <si>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</si>
  <si>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</si>
  <si>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</si>
  <si>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</si>
  <si>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</si>
  <si>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</si>
  <si>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</si>
  <si>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</si>
  <si>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</si>
  <si>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</si>
  <si>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</si>
  <si>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</si>
  <si>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</si>
  <si>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</si>
  <si>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</si>
  <si>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</si>
  <si>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</si>
  <si>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</si>
  <si>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</si>
  <si>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</si>
  <si>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</si>
  <si>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</si>
  <si>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</si>
  <si>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</si>
  <si>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</si>
  <si>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</si>
  <si>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</si>
  <si>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</si>
  <si>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</si>
  <si>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</si>
  <si>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</si>
  <si>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</si>
  <si>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</si>
  <si>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</si>
  <si>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</si>
  <si>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</si>
  <si>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</si>
  <si>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</si>
  <si>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</si>
  <si>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</si>
  <si>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</si>
  <si>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</si>
  <si>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</si>
  <si>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</si>
  <si>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</si>
  <si>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</si>
  <si>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</si>
  <si>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</si>
  <si>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</si>
  <si>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</si>
  <si>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</si>
  <si>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</si>
  <si>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</si>
  <si>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</si>
  <si>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</si>
  <si>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</si>
  <si>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</si>
  <si>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</si>
  <si>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</si>
  <si>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</si>
  <si>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</si>
  <si>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</si>
  <si>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</si>
  <si>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</si>
  <si>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</si>
  <si>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</si>
  <si>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</si>
  <si>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</si>
  <si>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</si>
  <si>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</si>
  <si>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</si>
  <si>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</si>
  <si>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</si>
  <si>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</si>
  <si>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</si>
  <si>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</si>
  <si>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</si>
  <si>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</si>
  <si>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</si>
  <si>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</si>
  <si>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</si>
  <si>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</si>
  <si>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</si>
  <si>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</si>
  <si>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</si>
  <si>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</si>
  <si>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</si>
  <si>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</si>
  <si>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</si>
  <si>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</si>
  <si>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Изменение стоимости основных фондов за счет их ввода в эксплуатацию</t>
  </si>
  <si>
    <t>5.1.2</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</si>
  <si>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</si>
  <si>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</si>
  <si>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</si>
  <si>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</si>
  <si>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</si>
  <si>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</si>
  <si>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</si>
  <si>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</si>
  <si>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</si>
  <si>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</si>
  <si>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</si>
  <si>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</si>
  <si>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</si>
  <si>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</si>
  <si>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</si>
  <si>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</si>
  <si>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</si>
  <si>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</si>
  <si>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</si>
  <si>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</si>
  <si>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</si>
  <si>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</si>
  <si>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</si>
  <si>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</si>
  <si>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</si>
  <si>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</si>
  <si>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</si>
  <si>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</si>
  <si>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</si>
  <si>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</si>
  <si>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</si>
  <si>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</si>
  <si>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</si>
  <si>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</si>
  <si>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</si>
  <si>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</si>
  <si>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</si>
  <si>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</si>
  <si>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</si>
  <si>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</si>
  <si>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</si>
  <si>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</si>
  <si>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</si>
  <si>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</si>
  <si>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</si>
  <si>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</si>
  <si>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</si>
  <si>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</si>
  <si>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</si>
  <si>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</si>
  <si>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</si>
  <si>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</si>
  <si>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</si>
  <si>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</si>
  <si>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</si>
  <si>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</si>
  <si>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</si>
  <si>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</si>
  <si>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</si>
  <si>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</si>
  <si>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</si>
  <si>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</si>
  <si>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</si>
  <si>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</si>
  <si>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</si>
  <si>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</si>
  <si>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</si>
  <si>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</si>
  <si>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</si>
  <si>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</si>
  <si>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</si>
  <si>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</si>
  <si>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</si>
  <si>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</si>
  <si>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</si>
  <si>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</si>
  <si>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</si>
  <si>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</si>
  <si>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</si>
  <si>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</si>
  <si>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</si>
  <si>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</si>
  <si>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</si>
  <si>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</si>
  <si>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</si>
  <si>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</si>
  <si>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</si>
  <si>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</si>
  <si>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</si>
  <si>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</si>
  <si>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</si>
  <si>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</si>
  <si>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</si>
  <si>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</si>
  <si>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</si>
  <si>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</si>
  <si>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</si>
  <si>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</si>
  <si>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</si>
  <si>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</si>
  <si>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2658</t>
  </si>
  <si>
    <t>31351421</t>
  </si>
  <si>
    <t>АДМИНИСТРАЦИЯ АЛЕКСАНДРОВСКОГО СЕЛЬСКОГО ПОСЕЛЕНИЯ</t>
  </si>
  <si>
    <t>7022014377</t>
  </si>
  <si>
    <t>702201001</t>
  </si>
  <si>
    <t>14-10-2019 00:00:00</t>
  </si>
  <si>
    <t>31349138</t>
  </si>
  <si>
    <t>АНО "Томский центр ресурсосбережения и энергоэффективности"</t>
  </si>
  <si>
    <t>7017998710</t>
  </si>
  <si>
    <t>701701001</t>
  </si>
  <si>
    <t>26360451</t>
  </si>
  <si>
    <t>АО "Аграрная Группа МП"</t>
  </si>
  <si>
    <t>7224031400</t>
  </si>
  <si>
    <t>09-12-2005 00:00:00</t>
  </si>
  <si>
    <t>30401246</t>
  </si>
  <si>
    <t>АО "ГУ ЖКХ"</t>
  </si>
  <si>
    <t>5116000922</t>
  </si>
  <si>
    <t>540645001</t>
  </si>
  <si>
    <t>30335229</t>
  </si>
  <si>
    <t>770401001</t>
  </si>
  <si>
    <t>26360215</t>
  </si>
  <si>
    <t>АО "КФ "Красная звезда"</t>
  </si>
  <si>
    <t>7017110131</t>
  </si>
  <si>
    <t>28-01-2005 00:00:00</t>
  </si>
  <si>
    <t>30851641</t>
  </si>
  <si>
    <t>АО "Карьеруправление"</t>
  </si>
  <si>
    <t>7018046802</t>
  </si>
  <si>
    <t>27-01-1999 00:00:00</t>
  </si>
  <si>
    <t>28812191</t>
  </si>
  <si>
    <t>АО "ОЭЗ ТВТ "Томск"</t>
  </si>
  <si>
    <t>7017153992</t>
  </si>
  <si>
    <t>06-07-2006 00:00:00</t>
  </si>
  <si>
    <t>26318707</t>
  </si>
  <si>
    <t>АО "СХК"</t>
  </si>
  <si>
    <t>7024029499</t>
  </si>
  <si>
    <t>702401001</t>
  </si>
  <si>
    <t>01-09-2008 00:00:00</t>
  </si>
  <si>
    <t>26465631</t>
  </si>
  <si>
    <t>АО "Северский водоканал"</t>
  </si>
  <si>
    <t>7024024853</t>
  </si>
  <si>
    <t>30-06-2006 00:00:00</t>
  </si>
  <si>
    <t>26360222</t>
  </si>
  <si>
    <t>АО "Сибкабель"</t>
  </si>
  <si>
    <t>7020012261</t>
  </si>
  <si>
    <t>702001001</t>
  </si>
  <si>
    <t>03-09-2002 00:00:00</t>
  </si>
  <si>
    <t>28869533</t>
  </si>
  <si>
    <t>АО "ТомскРТС"</t>
  </si>
  <si>
    <t>7017351521</t>
  </si>
  <si>
    <t>08-04-2014 00:00:00</t>
  </si>
  <si>
    <t>28960182</t>
  </si>
  <si>
    <t>АО "Томская генерация"</t>
  </si>
  <si>
    <t>7017373959</t>
  </si>
  <si>
    <t>01-04-2015 00:00:00</t>
  </si>
  <si>
    <t>26360180</t>
  </si>
  <si>
    <t>АО "Томскснаб"</t>
  </si>
  <si>
    <t>7014000490</t>
  </si>
  <si>
    <t>27-09-2002 00:00:00</t>
  </si>
  <si>
    <t>26856565</t>
  </si>
  <si>
    <t>АО "Энерго Сервис"</t>
  </si>
  <si>
    <t>7022014560</t>
  </si>
  <si>
    <t>30958269</t>
  </si>
  <si>
    <t>АО «РИР» Филиал в г. Северске</t>
  </si>
  <si>
    <t>7706757331</t>
  </si>
  <si>
    <t>702443001</t>
  </si>
  <si>
    <t>26617056</t>
  </si>
  <si>
    <t>ГУП ТО "ОБЛАСТНОЕ ДРСУ"</t>
  </si>
  <si>
    <t>7017253147</t>
  </si>
  <si>
    <t>701443001</t>
  </si>
  <si>
    <t>31-12-2009 00:00:00</t>
  </si>
  <si>
    <t>26616951</t>
  </si>
  <si>
    <t>ГУП ТО «Областное ДРСУ»</t>
  </si>
  <si>
    <t>700743001</t>
  </si>
  <si>
    <t>ДЕПАРТАМЕНТ ТАРИФНОГО РЕГУЛИРОВАНИЯ ТОМСКОЙ ОБЛАСТИ</t>
  </si>
  <si>
    <t>7017321862</t>
  </si>
  <si>
    <t>28447888</t>
  </si>
  <si>
    <t>Закрытое акционерное общество "Бакчаравтотранс"</t>
  </si>
  <si>
    <t>7003000185</t>
  </si>
  <si>
    <t>700301001</t>
  </si>
  <si>
    <t>18-07-2011 00:00:00</t>
  </si>
  <si>
    <t>28828503</t>
  </si>
  <si>
    <t>ИП Михайлов А.В.</t>
  </si>
  <si>
    <t>701101197192</t>
  </si>
  <si>
    <t>14-07-2014 00:00:00</t>
  </si>
  <si>
    <t>26360164</t>
  </si>
  <si>
    <t>Кожевниковское районное МУП "Коммунальное ремонтно-строительное хозяйство"</t>
  </si>
  <si>
    <t>7008006430</t>
  </si>
  <si>
    <t>700801001</t>
  </si>
  <si>
    <t>28-06-2004 00:00:00</t>
  </si>
  <si>
    <t>26824396</t>
  </si>
  <si>
    <t>Кузбасский территориальный участок ЗСД по тепловодоснабжению - СП ЦД по тепловодоснабжению - филиал ОАО "РЖД"</t>
  </si>
  <si>
    <t>7708503727</t>
  </si>
  <si>
    <t>540775040</t>
  </si>
  <si>
    <t>31517287</t>
  </si>
  <si>
    <t>МКП «Обь»</t>
  </si>
  <si>
    <t>7026000103</t>
  </si>
  <si>
    <t>702601001</t>
  </si>
  <si>
    <t>08-09-2021 00:00:00</t>
  </si>
  <si>
    <t>31640456</t>
  </si>
  <si>
    <t>МКП «СВК»</t>
  </si>
  <si>
    <t>7000000691</t>
  </si>
  <si>
    <t>700001001</t>
  </si>
  <si>
    <t>08-11-2022 00:00:00</t>
  </si>
  <si>
    <t>31349251</t>
  </si>
  <si>
    <t>МКП «ТВС» Александровского сельского поселения</t>
  </si>
  <si>
    <t>7022007186</t>
  </si>
  <si>
    <t>31600411</t>
  </si>
  <si>
    <t>МКП АГП "АЕРЦ"</t>
  </si>
  <si>
    <t>7002013199</t>
  </si>
  <si>
    <t>700201001</t>
  </si>
  <si>
    <t>26360120</t>
  </si>
  <si>
    <t>МУП "Батуринское ЖКХ"</t>
  </si>
  <si>
    <t>7002011530</t>
  </si>
  <si>
    <t>25-12-2005 00:00:00</t>
  </si>
  <si>
    <t>26360118</t>
  </si>
  <si>
    <t>МУП "Большедороховское ЖКХ"</t>
  </si>
  <si>
    <t>7002011508</t>
  </si>
  <si>
    <t>30888718</t>
  </si>
  <si>
    <t>МУП "Дальсервис"</t>
  </si>
  <si>
    <t>7007012657</t>
  </si>
  <si>
    <t>700701001</t>
  </si>
  <si>
    <t>16-11-2016 00:00:00</t>
  </si>
  <si>
    <t>30857065</t>
  </si>
  <si>
    <t>МУП "ЖИЛКОМХОЗ"</t>
  </si>
  <si>
    <t>7012004958</t>
  </si>
  <si>
    <t>701201001</t>
  </si>
  <si>
    <t>27-07-2005 00:00:00</t>
  </si>
  <si>
    <t>30882314</t>
  </si>
  <si>
    <t>МУП "ЖКХ Васюган"</t>
  </si>
  <si>
    <t>7006009267</t>
  </si>
  <si>
    <t>700601001</t>
  </si>
  <si>
    <t>30-01-2017 00:00:00</t>
  </si>
  <si>
    <t>28270904</t>
  </si>
  <si>
    <t>МУП "ЖКХ ВодСервис"</t>
  </si>
  <si>
    <t>7014057257</t>
  </si>
  <si>
    <t>30-05-2013 00:00:00</t>
  </si>
  <si>
    <t>26360141</t>
  </si>
  <si>
    <t>МУП "ЖКХ Киевское" муниципального образования "Толпаровское сельское поселение"</t>
  </si>
  <si>
    <t>7006006178</t>
  </si>
  <si>
    <t>17-01-2005 00:00:00</t>
  </si>
  <si>
    <t>26360140</t>
  </si>
  <si>
    <t>МУП "ЖКХ Молодежный" муниципального образования "Среднетымское сельское поселение"</t>
  </si>
  <si>
    <t>7006006160</t>
  </si>
  <si>
    <t>14-01-2005 00:00:00</t>
  </si>
  <si>
    <t>26360145</t>
  </si>
  <si>
    <t>МУП "ЖКХ Нововасюганское"</t>
  </si>
  <si>
    <t>7006007407</t>
  </si>
  <si>
    <t>06-02-2007 00:00:00</t>
  </si>
  <si>
    <t>28270894</t>
  </si>
  <si>
    <t>МУП "ЖКХ Октябрьское"</t>
  </si>
  <si>
    <t>7014057320</t>
  </si>
  <si>
    <t>21-06-2013 00:00:00</t>
  </si>
  <si>
    <t>26360139</t>
  </si>
  <si>
    <t>МУП "ЖКХ Сосновское" муниципального образования "Сосновское сельское поселение"</t>
  </si>
  <si>
    <t>7006006153</t>
  </si>
  <si>
    <t>26360143</t>
  </si>
  <si>
    <t>МУП "ЖКХ Тымское" муниципального образования "Тымское сельское поселение"</t>
  </si>
  <si>
    <t>7006006298</t>
  </si>
  <si>
    <t>05-08-2005 00:00:00</t>
  </si>
  <si>
    <t>26360230</t>
  </si>
  <si>
    <t>МУП "ЖКХ" с.Назино</t>
  </si>
  <si>
    <t>7022014842</t>
  </si>
  <si>
    <t>10-04-2006 00:00:00</t>
  </si>
  <si>
    <t>26360226</t>
  </si>
  <si>
    <t>МУП "Жилкомсервис" Александровского сельского поселения</t>
  </si>
  <si>
    <t>7022010478</t>
  </si>
  <si>
    <t>28-02-2002 00:00:00</t>
  </si>
  <si>
    <t>28498862</t>
  </si>
  <si>
    <t>МУП "Заречное"</t>
  </si>
  <si>
    <t>7014057715</t>
  </si>
  <si>
    <t>30-09-2013 00:00:00</t>
  </si>
  <si>
    <t>31229252</t>
  </si>
  <si>
    <t>МУП "Катайгинское"</t>
  </si>
  <si>
    <t>7004007987</t>
  </si>
  <si>
    <t>700401001</t>
  </si>
  <si>
    <t>28-11-2018 00:00:00</t>
  </si>
  <si>
    <t>31506502</t>
  </si>
  <si>
    <t>МУП "Колпашевский водоканал"</t>
  </si>
  <si>
    <t>7007013097</t>
  </si>
  <si>
    <t>22-06-2021 00:00:00</t>
  </si>
  <si>
    <t>26360231</t>
  </si>
  <si>
    <t>МУП "Комсервис" Александровского района Томской области</t>
  </si>
  <si>
    <t>7022014874</t>
  </si>
  <si>
    <t>13-04-2006 00:00:00</t>
  </si>
  <si>
    <t>26360229</t>
  </si>
  <si>
    <t>МУП "Комсервис" Лукашкин-Ярского сельского поселения Александровского района Томской области</t>
  </si>
  <si>
    <t>7022014835</t>
  </si>
  <si>
    <t>26360123</t>
  </si>
  <si>
    <t>МУП "Лисица"</t>
  </si>
  <si>
    <t>7004004182</t>
  </si>
  <si>
    <t>14-12-2002 00:00:00</t>
  </si>
  <si>
    <t>31415566</t>
  </si>
  <si>
    <t>МУП "Мирный"</t>
  </si>
  <si>
    <t>7014065385</t>
  </si>
  <si>
    <t>20-11-2019 00:00:00</t>
  </si>
  <si>
    <t>26360170</t>
  </si>
  <si>
    <t>МУП "Нарымское ЖКХ"</t>
  </si>
  <si>
    <t>7011003207</t>
  </si>
  <si>
    <t>701101001</t>
  </si>
  <si>
    <t>18-12-2003 00:00:00</t>
  </si>
  <si>
    <t>31506493</t>
  </si>
  <si>
    <t>МУП "Наумовское"</t>
  </si>
  <si>
    <t>7014067128</t>
  </si>
  <si>
    <t>23-06-2021 00:00:00</t>
  </si>
  <si>
    <t>26360119</t>
  </si>
  <si>
    <t>МУП "Новиковское ЖКХ"</t>
  </si>
  <si>
    <t>7002011522</t>
  </si>
  <si>
    <t>31081562</t>
  </si>
  <si>
    <t>МУП "Норма плюс"</t>
  </si>
  <si>
    <t>7014063469</t>
  </si>
  <si>
    <t>10-01-2018 00:00:00</t>
  </si>
  <si>
    <t>28876251</t>
  </si>
  <si>
    <t>МУП "Норма"</t>
  </si>
  <si>
    <t>7014057916</t>
  </si>
  <si>
    <t>27-11-2013 00:00:00</t>
  </si>
  <si>
    <t>28058714</t>
  </si>
  <si>
    <t>МУП "Орион"  Богашевского сельского поселения</t>
  </si>
  <si>
    <t>7014045068</t>
  </si>
  <si>
    <t>11-04-2006 00:00:00</t>
  </si>
  <si>
    <t>31229258</t>
  </si>
  <si>
    <t>МУП "ПЭК"</t>
  </si>
  <si>
    <t>7011006536</t>
  </si>
  <si>
    <t>26360134</t>
  </si>
  <si>
    <t>МУП "Прогресс"</t>
  </si>
  <si>
    <t>7005016590</t>
  </si>
  <si>
    <t>700501001</t>
  </si>
  <si>
    <t>07-02-2006 00:00:00</t>
  </si>
  <si>
    <t>31337611</t>
  </si>
  <si>
    <t>МУП "Рыбалово"</t>
  </si>
  <si>
    <t>7014065145</t>
  </si>
  <si>
    <t>14-08-2019 00:00:00</t>
  </si>
  <si>
    <t>30803401</t>
  </si>
  <si>
    <t>МУП "Степановское"</t>
  </si>
  <si>
    <t>7004007610</t>
  </si>
  <si>
    <t>26360136</t>
  </si>
  <si>
    <t>МУП "Теплоэнергоснаб" муниципального образования Новоюгинское сельское поселение</t>
  </si>
  <si>
    <t>7006005939</t>
  </si>
  <si>
    <t>30383318</t>
  </si>
  <si>
    <t>МУП "Техник"</t>
  </si>
  <si>
    <t>7014059920</t>
  </si>
  <si>
    <t>27-07-2015 00:00:00</t>
  </si>
  <si>
    <t>28819988</t>
  </si>
  <si>
    <t>МУП "Технополигон"</t>
  </si>
  <si>
    <t>7014049866</t>
  </si>
  <si>
    <t>26-05-2008 00:00:00</t>
  </si>
  <si>
    <t>31190183</t>
  </si>
  <si>
    <t>МУП «БИО ТЭП»</t>
  </si>
  <si>
    <t>7004007867</t>
  </si>
  <si>
    <t>04-05-2018 00:00:00</t>
  </si>
  <si>
    <t>26360137</t>
  </si>
  <si>
    <t>МУП «ЖКХ Березовское»</t>
  </si>
  <si>
    <t>7006006139</t>
  </si>
  <si>
    <t>26618138</t>
  </si>
  <si>
    <t>МУП «ЖКХ Кривошеинского района»</t>
  </si>
  <si>
    <t>7009003954</t>
  </si>
  <si>
    <t>700901001</t>
  </si>
  <si>
    <t>30-08-2010 00:00:00</t>
  </si>
  <si>
    <t>26360138</t>
  </si>
  <si>
    <t>МУП «ЖКХ Усть-Тымское»</t>
  </si>
  <si>
    <t>7006006146</t>
  </si>
  <si>
    <t>31709532</t>
  </si>
  <si>
    <t>МУП «Ресурс»</t>
  </si>
  <si>
    <t>7000007256</t>
  </si>
  <si>
    <t>13-06-2023 00:00:00</t>
  </si>
  <si>
    <t>31752340</t>
  </si>
  <si>
    <t>МУП «СКХ»</t>
  </si>
  <si>
    <t>7000016194</t>
  </si>
  <si>
    <t>17-04-2024 00:00:00</t>
  </si>
  <si>
    <t>31697719</t>
  </si>
  <si>
    <t>МУП «Теплотехник»</t>
  </si>
  <si>
    <t>7000009366</t>
  </si>
  <si>
    <t>31-08-2023 00:00:00</t>
  </si>
  <si>
    <t>30359959</t>
  </si>
  <si>
    <t>МУП «Турунтаево-партнер»</t>
  </si>
  <si>
    <t>7014057779</t>
  </si>
  <si>
    <t>22-10-2013 00:00:00</t>
  </si>
  <si>
    <t>28447114</t>
  </si>
  <si>
    <t>МУП «Энергетик»</t>
  </si>
  <si>
    <t>7007012093</t>
  </si>
  <si>
    <t>08-05-2024 00:00:00</t>
  </si>
  <si>
    <t>31715817</t>
  </si>
  <si>
    <t>МУП «Энергия»</t>
  </si>
  <si>
    <t>7000011703</t>
  </si>
  <si>
    <t>16-11-2023 00:00:00</t>
  </si>
  <si>
    <t>26360121</t>
  </si>
  <si>
    <t>МУП «Ягодное ЖКХ»</t>
  </si>
  <si>
    <t>7002011547</t>
  </si>
  <si>
    <t>31043497</t>
  </si>
  <si>
    <t>МУП АГП "Энергия-Т1"</t>
  </si>
  <si>
    <t>7002020291</t>
  </si>
  <si>
    <t>17-11-2017 00:00:00</t>
  </si>
  <si>
    <t>31043508</t>
  </si>
  <si>
    <t>МУП АГП "Энергия-Т2"</t>
  </si>
  <si>
    <t>7002020333</t>
  </si>
  <si>
    <t>31043517</t>
  </si>
  <si>
    <t>МУП АГП "Энергия-Т3"</t>
  </si>
  <si>
    <t>7002020340</t>
  </si>
  <si>
    <t>31640474</t>
  </si>
  <si>
    <t>МУП БСП «Богашево»</t>
  </si>
  <si>
    <t>7014068308</t>
  </si>
  <si>
    <t>13-09-2022 00:00:00</t>
  </si>
  <si>
    <t>27794542</t>
  </si>
  <si>
    <t>МУП ЖКХ "Исток"</t>
  </si>
  <si>
    <t>7014055404</t>
  </si>
  <si>
    <t>16-09-2011 00:00:00</t>
  </si>
  <si>
    <t>26360135</t>
  </si>
  <si>
    <t>МУП Каргасокский «ТВК»</t>
  </si>
  <si>
    <t>7006005632</t>
  </si>
  <si>
    <t>03-10-2002 00:00:00</t>
  </si>
  <si>
    <t>28491704</t>
  </si>
  <si>
    <t>МУП НКС</t>
  </si>
  <si>
    <t>7002016954</t>
  </si>
  <si>
    <t>28-01-2014 00:00:00</t>
  </si>
  <si>
    <t>26360198</t>
  </si>
  <si>
    <t>МУП Чаинского района "Чаинское ПОЖКХ"</t>
  </si>
  <si>
    <t>7015000373</t>
  </si>
  <si>
    <t>701501001</t>
  </si>
  <si>
    <t>25-12-2002 00:00:00</t>
  </si>
  <si>
    <t>27499720</t>
  </si>
  <si>
    <t>ОАО "Манотомь"</t>
  </si>
  <si>
    <t>7021000501</t>
  </si>
  <si>
    <t>04-10-2002 00:00:00</t>
  </si>
  <si>
    <t>26360234</t>
  </si>
  <si>
    <t>ОАО "Тепловые сети"</t>
  </si>
  <si>
    <t>7024024860</t>
  </si>
  <si>
    <t>26360221</t>
  </si>
  <si>
    <t>ОАО ФСК "Газ Химстрой Инвест"</t>
  </si>
  <si>
    <t>7020008610</t>
  </si>
  <si>
    <t>22-11-2002 00:00:00</t>
  </si>
  <si>
    <t>26360201</t>
  </si>
  <si>
    <t>ОГАУ "ДСО "Забота"</t>
  </si>
  <si>
    <t>7016001620</t>
  </si>
  <si>
    <t>701601001</t>
  </si>
  <si>
    <t>27-12-2002 00:00:00</t>
  </si>
  <si>
    <t>26360200</t>
  </si>
  <si>
    <t>ОГАУ «ДИПИ «Лесная дача»</t>
  </si>
  <si>
    <t>7016001098</t>
  </si>
  <si>
    <t>16-12-2002 00:00:00</t>
  </si>
  <si>
    <t>28453970</t>
  </si>
  <si>
    <t>ООО "АТГК-№1"</t>
  </si>
  <si>
    <t>7002016626</t>
  </si>
  <si>
    <t>04-10-2012 00:00:00</t>
  </si>
  <si>
    <t>31598517</t>
  </si>
  <si>
    <t>ООО "Абиком"</t>
  </si>
  <si>
    <t>7002016087</t>
  </si>
  <si>
    <t>27955683</t>
  </si>
  <si>
    <t>ООО "Аква-Сервис"</t>
  </si>
  <si>
    <t>7005007193</t>
  </si>
  <si>
    <t>14-03-2012 00:00:00</t>
  </si>
  <si>
    <t>26485703</t>
  </si>
  <si>
    <t>ООО "Бакчартеплосети"</t>
  </si>
  <si>
    <t>7003004207</t>
  </si>
  <si>
    <t>17-04-2008 00:00:00</t>
  </si>
  <si>
    <t>26360194</t>
  </si>
  <si>
    <t>ООО "ВИГК"</t>
  </si>
  <si>
    <t>7014048076</t>
  </si>
  <si>
    <t>19-06-2007 00:00:00</t>
  </si>
  <si>
    <t>08-02-2012 00:00:00</t>
  </si>
  <si>
    <t>26465606</t>
  </si>
  <si>
    <t>ООО "ГазТехСервис"</t>
  </si>
  <si>
    <t>7017134397</t>
  </si>
  <si>
    <t>26-12-2005 00:00:00</t>
  </si>
  <si>
    <t>26360207</t>
  </si>
  <si>
    <t>ООО "Газпром трансгаз Томск"</t>
  </si>
  <si>
    <t>7017005289</t>
  </si>
  <si>
    <t>701702010</t>
  </si>
  <si>
    <t>16-09-2002 00:00:00</t>
  </si>
  <si>
    <t>26360206</t>
  </si>
  <si>
    <t>702243001</t>
  </si>
  <si>
    <t>28270925</t>
  </si>
  <si>
    <t>ООО "Гарант"</t>
  </si>
  <si>
    <t>7014056711</t>
  </si>
  <si>
    <t>07-12-2012 00:00:00</t>
  </si>
  <si>
    <t>26360125</t>
  </si>
  <si>
    <t>ООО "Гранит"</t>
  </si>
  <si>
    <t>7004004746</t>
  </si>
  <si>
    <t>07-06-2024 00:00:00</t>
  </si>
  <si>
    <t>30390882</t>
  </si>
  <si>
    <t>ООО "ДНР"</t>
  </si>
  <si>
    <t>7017375240</t>
  </si>
  <si>
    <t>16-04-2015 00:00:00</t>
  </si>
  <si>
    <t>31424355</t>
  </si>
  <si>
    <t>ООО "Диспетчер"</t>
  </si>
  <si>
    <t>7017388793</t>
  </si>
  <si>
    <t>12-11-2015 00:00:00</t>
  </si>
  <si>
    <t>26360187</t>
  </si>
  <si>
    <t>ООО "ЖКХ Рыбаловское"</t>
  </si>
  <si>
    <t>7014041063</t>
  </si>
  <si>
    <t>28-11-2003 00:00:00</t>
  </si>
  <si>
    <t>03-05-2024 00:00:00</t>
  </si>
  <si>
    <t>27569040</t>
  </si>
  <si>
    <t>ООО "ЗПК СибЛесТрейд"</t>
  </si>
  <si>
    <t>7009003224</t>
  </si>
  <si>
    <t>22-09-2004 00:00:00</t>
  </si>
  <si>
    <t>28424739</t>
  </si>
  <si>
    <t>ООО "ЗПП - Т"</t>
  </si>
  <si>
    <t>7016003754</t>
  </si>
  <si>
    <t>18-01-2010 00:00:00</t>
  </si>
  <si>
    <t>30855484</t>
  </si>
  <si>
    <t>ООО "КП "Ключи"</t>
  </si>
  <si>
    <t>7014044794</t>
  </si>
  <si>
    <t>15-02-2006 00:00:00</t>
  </si>
  <si>
    <t>26360160</t>
  </si>
  <si>
    <t>ООО "КТК"</t>
  </si>
  <si>
    <t>7007009950</t>
  </si>
  <si>
    <t>09-07-2007 00:00:00</t>
  </si>
  <si>
    <t>31081576</t>
  </si>
  <si>
    <t>ООО "Квинта"</t>
  </si>
  <si>
    <t>7017406957</t>
  </si>
  <si>
    <t>04-08-2016 00:00:00</t>
  </si>
  <si>
    <t>28441528</t>
  </si>
  <si>
    <t>ООО "Комсервис+М"</t>
  </si>
  <si>
    <t>7014057377</t>
  </si>
  <si>
    <t>27-06-2013 00:00:00</t>
  </si>
  <si>
    <t>31517155</t>
  </si>
  <si>
    <t>ООО "Монтажкомплект"</t>
  </si>
  <si>
    <t>7008000608</t>
  </si>
  <si>
    <t>09-07-2013 00:00:00</t>
  </si>
  <si>
    <t>31349143</t>
  </si>
  <si>
    <t>ООО "ПСК-ПРАКТИК"</t>
  </si>
  <si>
    <t>7017462687</t>
  </si>
  <si>
    <t>01-08-2019 00:00:00</t>
  </si>
  <si>
    <t>30837122</t>
  </si>
  <si>
    <t>ООО "РЕКА+"</t>
  </si>
  <si>
    <t>7014043021</t>
  </si>
  <si>
    <t>30855308</t>
  </si>
  <si>
    <t>ООО "Ресурс"</t>
  </si>
  <si>
    <t>7014061454</t>
  </si>
  <si>
    <t>29-09-2016 00:00:00</t>
  </si>
  <si>
    <t>31434506</t>
  </si>
  <si>
    <t>7014065988</t>
  </si>
  <si>
    <t>07-07-2020 00:00:00</t>
  </si>
  <si>
    <t>27996774</t>
  </si>
  <si>
    <t>ООО "Ресурс-Т"</t>
  </si>
  <si>
    <t>7014053541</t>
  </si>
  <si>
    <t>04-05-2010 00:00:00</t>
  </si>
  <si>
    <t>30882871</t>
  </si>
  <si>
    <t>ООО "С-К КОЖЕВНИКОВО"</t>
  </si>
  <si>
    <t>7008001104</t>
  </si>
  <si>
    <t>18-09-2015 00:00:00</t>
  </si>
  <si>
    <t>30949413</t>
  </si>
  <si>
    <t>ООО "СИБИС"</t>
  </si>
  <si>
    <t>7017289785</t>
  </si>
  <si>
    <t>15-08-2011 00:00:00</t>
  </si>
  <si>
    <t>31339127</t>
  </si>
  <si>
    <t>ООО "СКР"</t>
  </si>
  <si>
    <t>7024044923</t>
  </si>
  <si>
    <t>15-07-2019 00:00:00</t>
  </si>
  <si>
    <t>26360124</t>
  </si>
  <si>
    <t>ООО "Сайга-энерго"</t>
  </si>
  <si>
    <t>7004007200</t>
  </si>
  <si>
    <t>29-12-2011 00:00:00</t>
  </si>
  <si>
    <t>31529341</t>
  </si>
  <si>
    <t>ООО "Сайгинское ЖКХ"</t>
  </si>
  <si>
    <t>7025006840</t>
  </si>
  <si>
    <t>702501001</t>
  </si>
  <si>
    <t>04-10-2021 00:00:00</t>
  </si>
  <si>
    <t>27662465</t>
  </si>
  <si>
    <t>ООО "Северная Тепловая Компания"</t>
  </si>
  <si>
    <t>7023005209</t>
  </si>
  <si>
    <t>702301001</t>
  </si>
  <si>
    <t>14-02-2012 00:00:00</t>
  </si>
  <si>
    <t>26499882</t>
  </si>
  <si>
    <t>ООО "Сетевая компания ТДСК"</t>
  </si>
  <si>
    <t>7017245330</t>
  </si>
  <si>
    <t>04-09-2009 00:00:00</t>
  </si>
  <si>
    <t>29648379</t>
  </si>
  <si>
    <t>ООО "Сети-Плюс"</t>
  </si>
  <si>
    <t>7024040076</t>
  </si>
  <si>
    <t>06-07-2015 00:00:00</t>
  </si>
  <si>
    <t>31383519</t>
  </si>
  <si>
    <t>ООО "Сибирьэнерго"</t>
  </si>
  <si>
    <t>7017468784</t>
  </si>
  <si>
    <t>11-12-2019 00:00:00</t>
  </si>
  <si>
    <t>31445981</t>
  </si>
  <si>
    <t>7017468858</t>
  </si>
  <si>
    <t>12-12-2019 00:00:00</t>
  </si>
  <si>
    <t>30853553</t>
  </si>
  <si>
    <t>ООО "Сибтеплоизоляция"</t>
  </si>
  <si>
    <t>7017121366</t>
  </si>
  <si>
    <t>28-06-2005 00:00:00</t>
  </si>
  <si>
    <t>28270914</t>
  </si>
  <si>
    <t>ООО "Служба тепловой энергии"</t>
  </si>
  <si>
    <t>7008000630</t>
  </si>
  <si>
    <t>16-08-2013 00:00:00</t>
  </si>
  <si>
    <t>26360228</t>
  </si>
  <si>
    <t>ООО "Стрежевой теплоэнергоснабжение"</t>
  </si>
  <si>
    <t>7022011087</t>
  </si>
  <si>
    <t>31597576</t>
  </si>
  <si>
    <t>ООО "СтройКомфорт"</t>
  </si>
  <si>
    <t>7017460305</t>
  </si>
  <si>
    <t>26322926</t>
  </si>
  <si>
    <t>ООО "ТИЗ - Сервис"</t>
  </si>
  <si>
    <t>7017104931</t>
  </si>
  <si>
    <t>03-11-2004 00:00:00</t>
  </si>
  <si>
    <t>30382699</t>
  </si>
  <si>
    <t>ООО "ТОМСК-СТИРОЛ"</t>
  </si>
  <si>
    <t>7017302404</t>
  </si>
  <si>
    <t>13-03-2012 00:00:00</t>
  </si>
  <si>
    <t>30858003</t>
  </si>
  <si>
    <t>ООО "ТЭП Лоскутово"</t>
  </si>
  <si>
    <t>7017407213</t>
  </si>
  <si>
    <t>08-08-2016 00:00:00</t>
  </si>
  <si>
    <t>31577745</t>
  </si>
  <si>
    <t>ООО "ТЭП Первомайское"</t>
  </si>
  <si>
    <t>7017488332</t>
  </si>
  <si>
    <t>28876569</t>
  </si>
  <si>
    <t>ООО "ТЭР №1"</t>
  </si>
  <si>
    <t>7002017186</t>
  </si>
  <si>
    <t>27-10-2014 00:00:00</t>
  </si>
  <si>
    <t>24-05-2024 00:00:00</t>
  </si>
  <si>
    <t>28876580</t>
  </si>
  <si>
    <t>ООО "ТЭР №2"</t>
  </si>
  <si>
    <t>7002017193</t>
  </si>
  <si>
    <t>29-10-2014 00:00:00</t>
  </si>
  <si>
    <t>28876591</t>
  </si>
  <si>
    <t>ООО "ТЭР №3"</t>
  </si>
  <si>
    <t>7002017203</t>
  </si>
  <si>
    <t>28876602</t>
  </si>
  <si>
    <t>ООО "ТЭР №4"</t>
  </si>
  <si>
    <t>7002017210</t>
  </si>
  <si>
    <t>28823207</t>
  </si>
  <si>
    <t>ООО "Тепло плюс"</t>
  </si>
  <si>
    <t>7024038704</t>
  </si>
  <si>
    <t>08-05-2014 00:00:00</t>
  </si>
  <si>
    <t>31503747</t>
  </si>
  <si>
    <t>ООО "ТеплоИнвест"</t>
  </si>
  <si>
    <t>7017465920</t>
  </si>
  <si>
    <t>16-10-2019 00:00:00</t>
  </si>
  <si>
    <t>31562315</t>
  </si>
  <si>
    <t>ООО "ТеплоМакс"</t>
  </si>
  <si>
    <t>7017488318</t>
  </si>
  <si>
    <t>22-10-2021 00:00:00</t>
  </si>
  <si>
    <t>27841763</t>
  </si>
  <si>
    <t>ООО "Теплогазсервис"</t>
  </si>
  <si>
    <t>7014056084</t>
  </si>
  <si>
    <t>02-05-2012 00:00:00</t>
  </si>
  <si>
    <t>31351388</t>
  </si>
  <si>
    <t>ООО "Техник"</t>
  </si>
  <si>
    <t>7017430332</t>
  </si>
  <si>
    <t>21-08-2017 00:00:00</t>
  </si>
  <si>
    <t>31100444</t>
  </si>
  <si>
    <t>ООО "ТомСвар"</t>
  </si>
  <si>
    <t>7014063194</t>
  </si>
  <si>
    <t>30911914</t>
  </si>
  <si>
    <t>ООО "ТомскЭнергоДизель"</t>
  </si>
  <si>
    <t>7017323429</t>
  </si>
  <si>
    <t>12-02-2013 00:00:00</t>
  </si>
  <si>
    <t>26801483</t>
  </si>
  <si>
    <t>ООО "Томскводоканал"</t>
  </si>
  <si>
    <t>7017270664</t>
  </si>
  <si>
    <t>06-10-2010 00:00:00</t>
  </si>
  <si>
    <t>26360211</t>
  </si>
  <si>
    <t>ООО "Томскнефтехим"</t>
  </si>
  <si>
    <t>7017075536</t>
  </si>
  <si>
    <t>14-07-2003 00:00:00</t>
  </si>
  <si>
    <t>28812128</t>
  </si>
  <si>
    <t>ООО "УК "Томскосельское"</t>
  </si>
  <si>
    <t>7014055644</t>
  </si>
  <si>
    <t>30-11-2011 00:00:00</t>
  </si>
  <si>
    <t>26360216</t>
  </si>
  <si>
    <t>ООО "УК ТПЗ"</t>
  </si>
  <si>
    <t>7017123606</t>
  </si>
  <si>
    <t>02-08-2005 00:00:00</t>
  </si>
  <si>
    <t>31337201</t>
  </si>
  <si>
    <t>ООО "Уют Орловка"</t>
  </si>
  <si>
    <t>7024044994</t>
  </si>
  <si>
    <t>05-08-2019 00:00:00</t>
  </si>
  <si>
    <t>28058667</t>
  </si>
  <si>
    <t>ООО "Эко-Транс"</t>
  </si>
  <si>
    <t>7005007203</t>
  </si>
  <si>
    <t>28102116</t>
  </si>
  <si>
    <t>ООО "ЭнергоТЭК"</t>
  </si>
  <si>
    <t>7017318531</t>
  </si>
  <si>
    <t>27-11-2012 00:00:00</t>
  </si>
  <si>
    <t>26360227</t>
  </si>
  <si>
    <t>ООО "Энергонефть Томск"</t>
  </si>
  <si>
    <t>7022010799</t>
  </si>
  <si>
    <t>22-10-2002 00:00:00</t>
  </si>
  <si>
    <t>27662493</t>
  </si>
  <si>
    <t>ООО "Южная Тепловая Компания"</t>
  </si>
  <si>
    <t>7014055884</t>
  </si>
  <si>
    <t>27-02-2012 00:00:00</t>
  </si>
  <si>
    <t>31600390</t>
  </si>
  <si>
    <t>ООО «Водовод-К»</t>
  </si>
  <si>
    <t>7009004563</t>
  </si>
  <si>
    <t>30917729</t>
  </si>
  <si>
    <t>ООО «Водовод-М»</t>
  </si>
  <si>
    <t>7010003003</t>
  </si>
  <si>
    <t>701001001</t>
  </si>
  <si>
    <t>21-04-2017 00:00:00</t>
  </si>
  <si>
    <t>27662506</t>
  </si>
  <si>
    <t>ООО «ЗТК»</t>
  </si>
  <si>
    <t>7014055845</t>
  </si>
  <si>
    <t>20-02-2012 00:00:00</t>
  </si>
  <si>
    <t>30857057</t>
  </si>
  <si>
    <t>ООО «Орловка»</t>
  </si>
  <si>
    <t>7004007708</t>
  </si>
  <si>
    <t>22-09-2016 00:00:00</t>
  </si>
  <si>
    <t>28858586</t>
  </si>
  <si>
    <t>ООО «ПНС»</t>
  </si>
  <si>
    <t>5401379586</t>
  </si>
  <si>
    <t>540401001</t>
  </si>
  <si>
    <t>26-05-2014 00:00:00</t>
  </si>
  <si>
    <t>31750308</t>
  </si>
  <si>
    <t>ООО «Р-ТЕРМО»</t>
  </si>
  <si>
    <t>7000014817</t>
  </si>
  <si>
    <t>13-03-2024 00:00:00</t>
  </si>
  <si>
    <t>31014889</t>
  </si>
  <si>
    <t>ООО «РСО ТеплоГарант»</t>
  </si>
  <si>
    <t>7014063148</t>
  </si>
  <si>
    <t>26-10-2017 00:00:00</t>
  </si>
  <si>
    <t>30849746</t>
  </si>
  <si>
    <t>ООО «С-К Молчаново»</t>
  </si>
  <si>
    <t>7010002930</t>
  </si>
  <si>
    <t>10-09-2015 00:00:00</t>
  </si>
  <si>
    <t>26360189</t>
  </si>
  <si>
    <t>ООО «Санаторий Синий Утес»</t>
  </si>
  <si>
    <t>7014041634</t>
  </si>
  <si>
    <t>12-04-2004 00:00:00</t>
  </si>
  <si>
    <t>30813053</t>
  </si>
  <si>
    <t>ООО «ТЭП Богашево»</t>
  </si>
  <si>
    <t>7014061165</t>
  </si>
  <si>
    <t>06-07-2016 00:00:00</t>
  </si>
  <si>
    <t>30849740</t>
  </si>
  <si>
    <t>ООО «Термо»</t>
  </si>
  <si>
    <t>7017249750</t>
  </si>
  <si>
    <t>13-11-2009 00:00:00</t>
  </si>
  <si>
    <t>26322913</t>
  </si>
  <si>
    <t>ООО «Томлесдрев»</t>
  </si>
  <si>
    <t>7017213271</t>
  </si>
  <si>
    <t>16-05-2008 00:00:00</t>
  </si>
  <si>
    <t>28983813</t>
  </si>
  <si>
    <t>ООО «Топ Венд»</t>
  </si>
  <si>
    <t>7017137302</t>
  </si>
  <si>
    <t>06-02-2006 00:00:00</t>
  </si>
  <si>
    <t>30409313</t>
  </si>
  <si>
    <t>ООО СМП "Чулымское"</t>
  </si>
  <si>
    <t>7012005831</t>
  </si>
  <si>
    <t>20-06-2008 00:00:00</t>
  </si>
  <si>
    <t>28796366</t>
  </si>
  <si>
    <t>ООО УК «СВК»</t>
  </si>
  <si>
    <t>7017215078</t>
  </si>
  <si>
    <t>10-06-2008 00:00:00</t>
  </si>
  <si>
    <t>27306089</t>
  </si>
  <si>
    <t>ООО УК «Успех»</t>
  </si>
  <si>
    <t>7016007156</t>
  </si>
  <si>
    <t>09-02-2011 00:00:00</t>
  </si>
  <si>
    <t>31296144</t>
  </si>
  <si>
    <t>УМП "Муниципальная УК"</t>
  </si>
  <si>
    <t>7017062569</t>
  </si>
  <si>
    <t>04-12-2002 00:00:00</t>
  </si>
  <si>
    <t>26360224</t>
  </si>
  <si>
    <t>УМП г.Томска "ККХ"</t>
  </si>
  <si>
    <t>7021001569</t>
  </si>
  <si>
    <t>07-10-2002 00:00:00</t>
  </si>
  <si>
    <t>31514030</t>
  </si>
  <si>
    <t>Управление ЖКХ, транспорта и связи Администрации ЗАТО Северск</t>
  </si>
  <si>
    <t>7024026709</t>
  </si>
  <si>
    <t>02-07-2007 00:00:00</t>
  </si>
  <si>
    <t>26801430</t>
  </si>
  <si>
    <t>ФКУ ИК-3 УФСИН РОССИИ ПО ТОМСКОЙ ОБЛАСТИ</t>
  </si>
  <si>
    <t>7020035798</t>
  </si>
  <si>
    <t>25-10-2002 00:00:00</t>
  </si>
  <si>
    <t>31021980</t>
  </si>
  <si>
    <t>Филиал АО "НПО "Микроген" в г.Томск "НПО "Вирион"</t>
  </si>
  <si>
    <t>7722422237</t>
  </si>
  <si>
    <t>701743001</t>
  </si>
  <si>
    <t>01-12-2017 00:00:00</t>
  </si>
  <si>
    <t>30914574</t>
  </si>
  <si>
    <t>Филиал ФГБУ "ЦЖКУ" МИНОБОРОНЫ РОССИИ (по ЦВО)</t>
  </si>
  <si>
    <t>7729314745</t>
  </si>
  <si>
    <t>667043001</t>
  </si>
  <si>
    <t>28048280</t>
  </si>
  <si>
    <t>муниципальное бюджетное учреждение здравоохранения "Асиновская центральная районная больница"</t>
  </si>
  <si>
    <t>7002006723</t>
  </si>
  <si>
    <t>02-08-2002 00:00:00</t>
  </si>
  <si>
    <t>27366801</t>
  </si>
  <si>
    <t>филиал ОАО "РЭУ"  "Новосибирский"</t>
  </si>
  <si>
    <t>7714783092</t>
  </si>
  <si>
    <t>540543001</t>
  </si>
  <si>
    <t>18-06-2009 00:00:00</t>
  </si>
  <si>
    <t>26560525</t>
  </si>
  <si>
    <t>511601001</t>
  </si>
  <si>
    <t>13-05-2009 00:00:00</t>
  </si>
  <si>
    <t>26617951</t>
  </si>
  <si>
    <t>АО "Сибирская Аграрная Группа"</t>
  </si>
  <si>
    <t>7017012254</t>
  </si>
  <si>
    <t>26768075</t>
  </si>
  <si>
    <t>АО "Томскнефть" ВНК</t>
  </si>
  <si>
    <t>7022000310</t>
  </si>
  <si>
    <t>997150001</t>
  </si>
  <si>
    <t>17-09-2002 00:00:00</t>
  </si>
  <si>
    <t>26581653</t>
  </si>
  <si>
    <t>АО "Транснефть - Сибирь"</t>
  </si>
  <si>
    <t>7201000726</t>
  </si>
  <si>
    <t>720301001</t>
  </si>
  <si>
    <t>26-06-1997 00:00:00</t>
  </si>
  <si>
    <t>28441420</t>
  </si>
  <si>
    <t>Администрация Высоковского сельского поселения</t>
  </si>
  <si>
    <t>7005006312</t>
  </si>
  <si>
    <t>08-12-2005 00:00:00</t>
  </si>
  <si>
    <t>28159226</t>
  </si>
  <si>
    <t>Администрация Дубровского сельского поселения</t>
  </si>
  <si>
    <t>7005006344</t>
  </si>
  <si>
    <t>17-12-2005 00:00:00</t>
  </si>
  <si>
    <t>28146285</t>
  </si>
  <si>
    <t>Администрация Заводского сельского поселения</t>
  </si>
  <si>
    <t>7011005162</t>
  </si>
  <si>
    <t>30-12-2005 00:00:00</t>
  </si>
  <si>
    <t>31365972</t>
  </si>
  <si>
    <t>Администрация Михайловского сельского поселения</t>
  </si>
  <si>
    <t>7005006351</t>
  </si>
  <si>
    <t>26767883</t>
  </si>
  <si>
    <t>Администрация Новосельцевского сельского поселения</t>
  </si>
  <si>
    <t>7011005155</t>
  </si>
  <si>
    <t>30366130</t>
  </si>
  <si>
    <t>Администрация Тунгусовского сельского поселения</t>
  </si>
  <si>
    <t>7010005579</t>
  </si>
  <si>
    <t>22-12-2005 00:00:00</t>
  </si>
  <si>
    <t>26801381</t>
  </si>
  <si>
    <t>Администрация Чердатского сельского поселения</t>
  </si>
  <si>
    <t>7005006305</t>
  </si>
  <si>
    <t>07-12-2005 00:00:00</t>
  </si>
  <si>
    <t>31625734</t>
  </si>
  <si>
    <t>ИП Вердиева В.Н.</t>
  </si>
  <si>
    <t>700501900876</t>
  </si>
  <si>
    <t>14-09-2022 00:00:00</t>
  </si>
  <si>
    <t>22-05-2024 00:00:00</t>
  </si>
  <si>
    <t>26801458</t>
  </si>
  <si>
    <t>ИП Голованов А.Н.</t>
  </si>
  <si>
    <t>702280350128</t>
  </si>
  <si>
    <t>31756227</t>
  </si>
  <si>
    <t>МКП "Колпашевское"</t>
  </si>
  <si>
    <t>7000017871</t>
  </si>
  <si>
    <t>03-07-2024 00:00:00</t>
  </si>
  <si>
    <t>30436733</t>
  </si>
  <si>
    <t>МКП "Комфорт"</t>
  </si>
  <si>
    <t>7016000584</t>
  </si>
  <si>
    <t>29-12-2015 00:00:00</t>
  </si>
  <si>
    <t>31719448</t>
  </si>
  <si>
    <t>МКП «Чажемтовское»</t>
  </si>
  <si>
    <t>7000012175</t>
  </si>
  <si>
    <t>01-12-2023 00:00:00</t>
  </si>
  <si>
    <t>31245959</t>
  </si>
  <si>
    <t>МП "Калтайское ЖКХ"</t>
  </si>
  <si>
    <t>7014064208</t>
  </si>
  <si>
    <t>28-08-2018 00:00:00</t>
  </si>
  <si>
    <t>28819979</t>
  </si>
  <si>
    <t>МП "Служба коммунального сервиса"</t>
  </si>
  <si>
    <t>7014054979</t>
  </si>
  <si>
    <t>20-05-2011 00:00:00</t>
  </si>
  <si>
    <t>26360122</t>
  </si>
  <si>
    <t>МУП "БКК"</t>
  </si>
  <si>
    <t>7003000227</t>
  </si>
  <si>
    <t>16-04-2012 00:00:00</t>
  </si>
  <si>
    <t>28-06-2024 00:00:00</t>
  </si>
  <si>
    <t>31079559</t>
  </si>
  <si>
    <t>МУП "Верхнекетский водоканал"</t>
  </si>
  <si>
    <t>7004007835</t>
  </si>
  <si>
    <t>16-03-2018 00:00:00</t>
  </si>
  <si>
    <t>31519519</t>
  </si>
  <si>
    <t>МУП "КОМХОЗ"</t>
  </si>
  <si>
    <t>7025006783</t>
  </si>
  <si>
    <t>26465821</t>
  </si>
  <si>
    <t>МУП "Новониколаевское ЖКХ"</t>
  </si>
  <si>
    <t>7002011787</t>
  </si>
  <si>
    <t>13-03-2006 00:00:00</t>
  </si>
  <si>
    <t>31261156</t>
  </si>
  <si>
    <t>МУП "Строитель"</t>
  </si>
  <si>
    <t>7011006543</t>
  </si>
  <si>
    <t>12-12-2018 00:00:00</t>
  </si>
  <si>
    <t>31315893</t>
  </si>
  <si>
    <t>МУП АГП "Асиновский водоканал"</t>
  </si>
  <si>
    <t>7002020823</t>
  </si>
  <si>
    <t>03-06-2019 00:00:00</t>
  </si>
  <si>
    <t>31574159</t>
  </si>
  <si>
    <t>Нижневартовское УМН Акционерное общество "Транснефть - Сибирь"</t>
  </si>
  <si>
    <t>860302001</t>
  </si>
  <si>
    <t>26484340</t>
  </si>
  <si>
    <t>ОАО "Агропромышленная компания  "Галкинская"</t>
  </si>
  <si>
    <t>7003003130</t>
  </si>
  <si>
    <t>22-04-2003 00:00:00</t>
  </si>
  <si>
    <t>28879005</t>
  </si>
  <si>
    <t>ОГБУЗ "ЧАИНСКАЯ РБ"</t>
  </si>
  <si>
    <t>7015000535</t>
  </si>
  <si>
    <t>27-02-2001 00:00:00</t>
  </si>
  <si>
    <t>28546898</t>
  </si>
  <si>
    <t>ООО "Асиновский водоканал"</t>
  </si>
  <si>
    <t>7002017027</t>
  </si>
  <si>
    <t>30940441</t>
  </si>
  <si>
    <t>ООО "ВКС"</t>
  </si>
  <si>
    <t>7017381967</t>
  </si>
  <si>
    <t>29-07-2015 00:00:00</t>
  </si>
  <si>
    <t>21-06-2024 00:00:00</t>
  </si>
  <si>
    <t>28822545</t>
  </si>
  <si>
    <t>ООО "ВКХ "Самусь"</t>
  </si>
  <si>
    <t>7024038863</t>
  </si>
  <si>
    <t>08-07-2014 00:00:00</t>
  </si>
  <si>
    <t>30988046</t>
  </si>
  <si>
    <t>ООО "ВКХ Лоскутово"</t>
  </si>
  <si>
    <t>7017430283</t>
  </si>
  <si>
    <t>31356125</t>
  </si>
  <si>
    <t>ООО "Водоканал +"</t>
  </si>
  <si>
    <t>7007012978</t>
  </si>
  <si>
    <t>30-05-2019 00:00:00</t>
  </si>
  <si>
    <t>31362147</t>
  </si>
  <si>
    <t>ООО "Водоснабжение"</t>
  </si>
  <si>
    <t>7011006575</t>
  </si>
  <si>
    <t>27662546</t>
  </si>
  <si>
    <t>ООО "Восточная Водяная Компания"</t>
  </si>
  <si>
    <t>7014055796</t>
  </si>
  <si>
    <t>28146258</t>
  </si>
  <si>
    <t>ООО "Жилстрой"</t>
  </si>
  <si>
    <t>7022018300</t>
  </si>
  <si>
    <t>01-06-2010 00:00:00</t>
  </si>
  <si>
    <t>31599215</t>
  </si>
  <si>
    <t>ООО "КВК"</t>
  </si>
  <si>
    <t>7008001714</t>
  </si>
  <si>
    <t>31316809</t>
  </si>
  <si>
    <t>ООО "КСМУ"</t>
  </si>
  <si>
    <t>7009004387</t>
  </si>
  <si>
    <t>23-10-2015 00:00:00</t>
  </si>
  <si>
    <t>26465793</t>
  </si>
  <si>
    <t>ООО "Межениновская птицефабрика"</t>
  </si>
  <si>
    <t>7014027742</t>
  </si>
  <si>
    <t>28-11-2002 00:00:00</t>
  </si>
  <si>
    <t>30851633</t>
  </si>
  <si>
    <t>ООО "Сетьсервис"</t>
  </si>
  <si>
    <t>7017129118</t>
  </si>
  <si>
    <t>31-10-2005 00:00:00</t>
  </si>
  <si>
    <t>27662436</t>
  </si>
  <si>
    <t>ООО "Строитель"</t>
  </si>
  <si>
    <t>7011006215</t>
  </si>
  <si>
    <t>13-06-2012 00:00:00</t>
  </si>
  <si>
    <t>31647767</t>
  </si>
  <si>
    <t>ООО «ВКХ»</t>
  </si>
  <si>
    <t>7000001617</t>
  </si>
  <si>
    <t>23-11-2022 00:00:00</t>
  </si>
  <si>
    <t>31758449</t>
  </si>
  <si>
    <t>ООО «Водоснабжение-1»</t>
  </si>
  <si>
    <t>7000013651</t>
  </si>
  <si>
    <t>01-02-2024 00:00:00</t>
  </si>
  <si>
    <t>31366597</t>
  </si>
  <si>
    <t>ООО «Континентъ-Транс»</t>
  </si>
  <si>
    <t>7017096737</t>
  </si>
  <si>
    <t>28424750</t>
  </si>
  <si>
    <t>Общество с ограниченной ответственностью "Завод приборных подшипников"</t>
  </si>
  <si>
    <t>7017098220</t>
  </si>
  <si>
    <t>14-07-2004 00:00:00</t>
  </si>
  <si>
    <t>28984697</t>
  </si>
  <si>
    <t>Общество с ограниченной ответственностью «Аргентум»</t>
  </si>
  <si>
    <t>7017326170</t>
  </si>
  <si>
    <t>14-03-2013 00:00:00</t>
  </si>
  <si>
    <t>28270886</t>
  </si>
  <si>
    <t>УМП г.Томска "Комбинат Спецобслуживания" по организации похорон и предоставлению связанных с ними услуг</t>
  </si>
  <si>
    <t>7017002136</t>
  </si>
  <si>
    <t>18-12-2002 00:00:00</t>
  </si>
  <si>
    <t>31431540</t>
  </si>
  <si>
    <t>филиал ТРНУ АО "Транснефть-Западная Сибирь"</t>
  </si>
  <si>
    <t>5502020634</t>
  </si>
  <si>
    <t>01-07-2020 00:00:00</t>
  </si>
  <si>
    <t>30370539</t>
  </si>
  <si>
    <t>ООО "АКОС"</t>
  </si>
  <si>
    <t>7002017059</t>
  </si>
  <si>
    <t>19-06-2014 00:00:00</t>
  </si>
  <si>
    <t>27662538</t>
  </si>
  <si>
    <t>ООО "Восточная Компания"</t>
  </si>
  <si>
    <t>7014055813</t>
  </si>
  <si>
    <t>27577731</t>
  </si>
  <si>
    <t>ООО "ИнвестГрадСтрой"</t>
  </si>
  <si>
    <t>4205130008</t>
  </si>
  <si>
    <t>22-05-2007 00:00:00</t>
  </si>
  <si>
    <t>26465618</t>
  </si>
  <si>
    <t>ООО «ГОС»</t>
  </si>
  <si>
    <t>7017374014</t>
  </si>
  <si>
    <t>20-08-2004 00:00:00</t>
  </si>
  <si>
    <t>28791588</t>
  </si>
  <si>
    <t>ИП Сысоев В.Г.</t>
  </si>
  <si>
    <t>701000127664</t>
  </si>
  <si>
    <t>09-12-2008 00:00:00</t>
  </si>
  <si>
    <t>28877394</t>
  </si>
  <si>
    <t>МУП "Каргасокский ЖЭУ"</t>
  </si>
  <si>
    <t>7006005110</t>
  </si>
  <si>
    <t>26-04-2000 00:00:00</t>
  </si>
  <si>
    <t>26465603</t>
  </si>
  <si>
    <t>МУП "САХ"</t>
  </si>
  <si>
    <t>7002010695</t>
  </si>
  <si>
    <t>27-02-2003 00:00:00</t>
  </si>
  <si>
    <t>30958074</t>
  </si>
  <si>
    <t>ООО "АБФ Логистик"</t>
  </si>
  <si>
    <t>7017343880</t>
  </si>
  <si>
    <t>12-12-2013 00:00:00</t>
  </si>
  <si>
    <t>30961076</t>
  </si>
  <si>
    <t>ООО "АБФ Ресурс"</t>
  </si>
  <si>
    <t>7024039666</t>
  </si>
  <si>
    <t>26-02-2015 00:00:00</t>
  </si>
  <si>
    <t>30958070</t>
  </si>
  <si>
    <t>ООО "АБФ Система"</t>
  </si>
  <si>
    <t>7024040936</t>
  </si>
  <si>
    <t>04-02-2016 00:00:00</t>
  </si>
  <si>
    <t>31619146</t>
  </si>
  <si>
    <t>ООО "Партнер"</t>
  </si>
  <si>
    <t>5501098363</t>
  </si>
  <si>
    <t>550101001</t>
  </si>
  <si>
    <t>26360154</t>
  </si>
  <si>
    <t>ООО "Риск"</t>
  </si>
  <si>
    <t>7007007583</t>
  </si>
  <si>
    <t>19-04-2004 00:00:00</t>
  </si>
  <si>
    <t>31226465</t>
  </si>
  <si>
    <t>ООО "САТП №1412"</t>
  </si>
  <si>
    <t>7017366912</t>
  </si>
  <si>
    <t>26617492</t>
  </si>
  <si>
    <t>ООО "ТКС"</t>
  </si>
  <si>
    <t>7022017561</t>
  </si>
  <si>
    <t>12-03-2009 00:00:00</t>
  </si>
  <si>
    <t>28487607</t>
  </si>
  <si>
    <t>ООО "ТРАНССИБ"</t>
  </si>
  <si>
    <t>7022019336</t>
  </si>
  <si>
    <t>11-03-2012 00:00:00</t>
  </si>
  <si>
    <t>27794482</t>
  </si>
  <si>
    <t>ООО "ЭКМО"</t>
  </si>
  <si>
    <t>7014049915</t>
  </si>
  <si>
    <t>29-05-2008 00:00:00</t>
  </si>
  <si>
    <t>31229357</t>
  </si>
  <si>
    <t>ООО "Экология - Новосибирск"</t>
  </si>
  <si>
    <t>5410772955</t>
  </si>
  <si>
    <t>540701001</t>
  </si>
  <si>
    <t>09-10-2012 00:00:00</t>
  </si>
  <si>
    <t>31449794</t>
  </si>
  <si>
    <t>ООО "Экология-Новосибирск", Томский филиал</t>
  </si>
  <si>
    <t>31696947</t>
  </si>
  <si>
    <t>ООО «АБФ Логистик»</t>
  </si>
  <si>
    <t>7017332381</t>
  </si>
  <si>
    <t>31698666</t>
  </si>
  <si>
    <t>ООО «ЕА Систем»</t>
  </si>
  <si>
    <t>7017334653</t>
  </si>
  <si>
    <t>24-10-2022 00:00:00</t>
  </si>
  <si>
    <t>31699898</t>
  </si>
  <si>
    <t>ООО «МЛТ Транспорт»</t>
  </si>
  <si>
    <t>7012012148</t>
  </si>
  <si>
    <t>02-07-2019 00:00:00</t>
  </si>
  <si>
    <t>31742108</t>
  </si>
  <si>
    <t>ООО «Отава»</t>
  </si>
  <si>
    <t>7007012086</t>
  </si>
  <si>
    <t>25-11-2013 00:00:00</t>
  </si>
  <si>
    <t>31746565</t>
  </si>
  <si>
    <t>ООО «Сибгрупп-Ямск»</t>
  </si>
  <si>
    <t>2210011059</t>
  </si>
  <si>
    <t>221001001</t>
  </si>
  <si>
    <t>20-04-2021 00:00:00</t>
  </si>
  <si>
    <t>31743091</t>
  </si>
  <si>
    <t>ООО «Томск Карго»</t>
  </si>
  <si>
    <t>7014065755</t>
  </si>
  <si>
    <t>28-02-2020 00:00:00</t>
  </si>
  <si>
    <t>31699488</t>
  </si>
  <si>
    <t>ООО «ТрансЭко»</t>
  </si>
  <si>
    <t>7024039641</t>
  </si>
  <si>
    <t>20-02-2015 00:00:00</t>
  </si>
  <si>
    <t>26465600</t>
  </si>
  <si>
    <t>УМП "САХ" г. Томска"</t>
  </si>
  <si>
    <t>7017001968</t>
  </si>
  <si>
    <t>06-11-2002 00:00:00</t>
  </si>
  <si>
    <t>NSRF</t>
  </si>
  <si>
    <t>MR_NAME</t>
  </si>
  <si>
    <t>OKTMO_MR_NAME</t>
  </si>
  <si>
    <t>MO_NAME</t>
  </si>
  <si>
    <t>OKTMO_NAME</t>
  </si>
  <si>
    <t>TYPE</t>
  </si>
  <si>
    <t>MR_ID</t>
  </si>
  <si>
    <t>Александровский</t>
  </si>
  <si>
    <t>69604000</t>
  </si>
  <si>
    <t>муниципальный район</t>
  </si>
  <si>
    <t>Александровское</t>
  </si>
  <si>
    <t>69604410</t>
  </si>
  <si>
    <t>сельское поселение</t>
  </si>
  <si>
    <t>Лукашкин-Ярское</t>
  </si>
  <si>
    <t>69604420</t>
  </si>
  <si>
    <t>Назинское</t>
  </si>
  <si>
    <t>69604430</t>
  </si>
  <si>
    <t>Новоникольское</t>
  </si>
  <si>
    <t>69604440</t>
  </si>
  <si>
    <t>Октябрьское</t>
  </si>
  <si>
    <t>69604444</t>
  </si>
  <si>
    <t>Северное</t>
  </si>
  <si>
    <t>69604448</t>
  </si>
  <si>
    <t>Асиновский</t>
  </si>
  <si>
    <t>69608000</t>
  </si>
  <si>
    <t>Асиновское городское</t>
  </si>
  <si>
    <t>69608101</t>
  </si>
  <si>
    <t>городское поселение, в состав которого входит город</t>
  </si>
  <si>
    <t>Батуринское</t>
  </si>
  <si>
    <t>69608408</t>
  </si>
  <si>
    <t>Большедороховское</t>
  </si>
  <si>
    <t>69608410</t>
  </si>
  <si>
    <t>Новиковское</t>
  </si>
  <si>
    <t>69608440</t>
  </si>
  <si>
    <t>Новокусковское</t>
  </si>
  <si>
    <t>69608450</t>
  </si>
  <si>
    <t>Новониколаевское</t>
  </si>
  <si>
    <t>69608460</t>
  </si>
  <si>
    <t>Ягодное</t>
  </si>
  <si>
    <t>69608480</t>
  </si>
  <si>
    <t>Бакчарский</t>
  </si>
  <si>
    <t>69612000</t>
  </si>
  <si>
    <t>Бакчарское</t>
  </si>
  <si>
    <t>69612417</t>
  </si>
  <si>
    <t>Вавиловское</t>
  </si>
  <si>
    <t>69612415</t>
  </si>
  <si>
    <t>Высокоярское</t>
  </si>
  <si>
    <t>69612420</t>
  </si>
  <si>
    <t>Парбигское</t>
  </si>
  <si>
    <t>69612455</t>
  </si>
  <si>
    <t>Плотниковское</t>
  </si>
  <si>
    <t>69612460</t>
  </si>
  <si>
    <t>Поротниковское</t>
  </si>
  <si>
    <t>69612475</t>
  </si>
  <si>
    <t>Верхнекетский</t>
  </si>
  <si>
    <t>69616000</t>
  </si>
  <si>
    <t>Белоярское городское</t>
  </si>
  <si>
    <t>69616151</t>
  </si>
  <si>
    <t>городское поселение, в состав которого входит поселок</t>
  </si>
  <si>
    <t>Катайгинское</t>
  </si>
  <si>
    <t>69616410</t>
  </si>
  <si>
    <t>Клюквинское</t>
  </si>
  <si>
    <t>69616420</t>
  </si>
  <si>
    <t>Макзырское</t>
  </si>
  <si>
    <t>69616440</t>
  </si>
  <si>
    <t>Орловское</t>
  </si>
  <si>
    <t>69616450</t>
  </si>
  <si>
    <t>Палочкинское</t>
  </si>
  <si>
    <t>69616445</t>
  </si>
  <si>
    <t>Сайгинское</t>
  </si>
  <si>
    <t>69616470</t>
  </si>
  <si>
    <t>Степановское</t>
  </si>
  <si>
    <t>69616480</t>
  </si>
  <si>
    <t>Ягоднинское</t>
  </si>
  <si>
    <t>69616490</t>
  </si>
  <si>
    <t>Городской округ "Город Кедровый"</t>
  </si>
  <si>
    <t>69707000</t>
  </si>
  <si>
    <t>городской округ</t>
  </si>
  <si>
    <t>Городской округ "Город Стрежевой"</t>
  </si>
  <si>
    <t>69710000</t>
  </si>
  <si>
    <t>Городской округ "Город Томск"</t>
  </si>
  <si>
    <t>69701000</t>
  </si>
  <si>
    <t>Городской округ "ЗАТО Северск"</t>
  </si>
  <si>
    <t>69741000</t>
  </si>
  <si>
    <t>Зырянский</t>
  </si>
  <si>
    <t>69620000</t>
  </si>
  <si>
    <t>Высоковское</t>
  </si>
  <si>
    <t>69620450</t>
  </si>
  <si>
    <t>Дубровское</t>
  </si>
  <si>
    <t>69620410</t>
  </si>
  <si>
    <t>Зырянское</t>
  </si>
  <si>
    <t>69620420</t>
  </si>
  <si>
    <t>Михайловское</t>
  </si>
  <si>
    <t>69620430</t>
  </si>
  <si>
    <t>Чердатское</t>
  </si>
  <si>
    <t>69620440</t>
  </si>
  <si>
    <t>Каргасокский</t>
  </si>
  <si>
    <t>69624000</t>
  </si>
  <si>
    <t>Вертикосское</t>
  </si>
  <si>
    <t>69624416</t>
  </si>
  <si>
    <t>Каргасокское</t>
  </si>
  <si>
    <t>69624422</t>
  </si>
  <si>
    <t>Киндальское</t>
  </si>
  <si>
    <t>69624424</t>
  </si>
  <si>
    <t>Нововасюганское</t>
  </si>
  <si>
    <t>69624440</t>
  </si>
  <si>
    <t>Новоюгинское</t>
  </si>
  <si>
    <t>69624442</t>
  </si>
  <si>
    <t>Сосновское</t>
  </si>
  <si>
    <t>69624448</t>
  </si>
  <si>
    <t>Средневасюганское</t>
  </si>
  <si>
    <t>69624452</t>
  </si>
  <si>
    <t>Среднетымское</t>
  </si>
  <si>
    <t>69624456</t>
  </si>
  <si>
    <t>Толпаровское</t>
  </si>
  <si>
    <t>69624472</t>
  </si>
  <si>
    <t>Тымское</t>
  </si>
  <si>
    <t>69624476</t>
  </si>
  <si>
    <t>Усть-Тымское</t>
  </si>
  <si>
    <t>69624480</t>
  </si>
  <si>
    <t>Усть-Чижапское</t>
  </si>
  <si>
    <t>69624484</t>
  </si>
  <si>
    <t>Кожевниковский</t>
  </si>
  <si>
    <t>69628000</t>
  </si>
  <si>
    <t>Вороновское</t>
  </si>
  <si>
    <t>69628475</t>
  </si>
  <si>
    <t>Кожевниковское</t>
  </si>
  <si>
    <t>69628435</t>
  </si>
  <si>
    <t>Малиновское</t>
  </si>
  <si>
    <t>69628440</t>
  </si>
  <si>
    <t>Новопокровское</t>
  </si>
  <si>
    <t>69628445</t>
  </si>
  <si>
    <t>60</t>
  </si>
  <si>
    <t>Песочнодубровское</t>
  </si>
  <si>
    <t>69628460</t>
  </si>
  <si>
    <t>61</t>
  </si>
  <si>
    <t>Староювалинское</t>
  </si>
  <si>
    <t>69628465</t>
  </si>
  <si>
    <t>62</t>
  </si>
  <si>
    <t>Уртамское</t>
  </si>
  <si>
    <t>69628470</t>
  </si>
  <si>
    <t>63</t>
  </si>
  <si>
    <t>Чилинское</t>
  </si>
  <si>
    <t>69628480</t>
  </si>
  <si>
    <t>64</t>
  </si>
  <si>
    <t>Колпашевский</t>
  </si>
  <si>
    <t>69632000</t>
  </si>
  <si>
    <t>Инкинское</t>
  </si>
  <si>
    <t>69632415</t>
  </si>
  <si>
    <t>65</t>
  </si>
  <si>
    <t>Колпашевское городское</t>
  </si>
  <si>
    <t>69632101</t>
  </si>
  <si>
    <t>67</t>
  </si>
  <si>
    <t>Новогоренское</t>
  </si>
  <si>
    <t>69632490</t>
  </si>
  <si>
    <t>Новоселовское</t>
  </si>
  <si>
    <t>69632455</t>
  </si>
  <si>
    <t>69</t>
  </si>
  <si>
    <t>Саровское</t>
  </si>
  <si>
    <t>69632465</t>
  </si>
  <si>
    <t>70</t>
  </si>
  <si>
    <t>Чажемтовское</t>
  </si>
  <si>
    <t>69632485</t>
  </si>
  <si>
    <t>71</t>
  </si>
  <si>
    <t>Кривошеинский</t>
  </si>
  <si>
    <t>69636000</t>
  </si>
  <si>
    <t>Володинское</t>
  </si>
  <si>
    <t>69636410</t>
  </si>
  <si>
    <t>72</t>
  </si>
  <si>
    <t>Иштанское</t>
  </si>
  <si>
    <t>69636420</t>
  </si>
  <si>
    <t>73</t>
  </si>
  <si>
    <t>Красноярское</t>
  </si>
  <si>
    <t>69636423</t>
  </si>
  <si>
    <t>74</t>
  </si>
  <si>
    <t>75</t>
  </si>
  <si>
    <t>Кривошеинское</t>
  </si>
  <si>
    <t>69636405</t>
  </si>
  <si>
    <t>76</t>
  </si>
  <si>
    <t>Новокривошеинское</t>
  </si>
  <si>
    <t>69636440</t>
  </si>
  <si>
    <t>77</t>
  </si>
  <si>
    <t>Петровское</t>
  </si>
  <si>
    <t>69636445</t>
  </si>
  <si>
    <t>78</t>
  </si>
  <si>
    <t>Пудовское</t>
  </si>
  <si>
    <t>69636450</t>
  </si>
  <si>
    <t>79</t>
  </si>
  <si>
    <t>Молчановский</t>
  </si>
  <si>
    <t>69640000</t>
  </si>
  <si>
    <t>Могочинское</t>
  </si>
  <si>
    <t>69640422</t>
  </si>
  <si>
    <t>80</t>
  </si>
  <si>
    <t>81</t>
  </si>
  <si>
    <t>Молчановское</t>
  </si>
  <si>
    <t>69640425</t>
  </si>
  <si>
    <t>82</t>
  </si>
  <si>
    <t>Наргинское</t>
  </si>
  <si>
    <t>69640427</t>
  </si>
  <si>
    <t>83</t>
  </si>
  <si>
    <t>Суйгинское</t>
  </si>
  <si>
    <t>69640440</t>
  </si>
  <si>
    <t>84</t>
  </si>
  <si>
    <t>Тунгусовское</t>
  </si>
  <si>
    <t>69640450</t>
  </si>
  <si>
    <t>85</t>
  </si>
  <si>
    <t>Парабельский</t>
  </si>
  <si>
    <t>69644000</t>
  </si>
  <si>
    <t>Заводское</t>
  </si>
  <si>
    <t>69644410</t>
  </si>
  <si>
    <t>86</t>
  </si>
  <si>
    <t>Нарымское</t>
  </si>
  <si>
    <t>69644430</t>
  </si>
  <si>
    <t>87</t>
  </si>
  <si>
    <t>Новосельцевское</t>
  </si>
  <si>
    <t>69644440</t>
  </si>
  <si>
    <t>88</t>
  </si>
  <si>
    <t>89</t>
  </si>
  <si>
    <t>Парабельское</t>
  </si>
  <si>
    <t>69644445</t>
  </si>
  <si>
    <t>90</t>
  </si>
  <si>
    <t>Старицинское</t>
  </si>
  <si>
    <t>69644455</t>
  </si>
  <si>
    <t>91</t>
  </si>
  <si>
    <t>Первомайский</t>
  </si>
  <si>
    <t>69648000</t>
  </si>
  <si>
    <t>Комсомольское</t>
  </si>
  <si>
    <t>69648422</t>
  </si>
  <si>
    <t>92</t>
  </si>
  <si>
    <t>Куяновское</t>
  </si>
  <si>
    <t>69648425</t>
  </si>
  <si>
    <t>93</t>
  </si>
  <si>
    <t>Новомариинское</t>
  </si>
  <si>
    <t>69648430</t>
  </si>
  <si>
    <t>94</t>
  </si>
  <si>
    <t>95</t>
  </si>
  <si>
    <t>Первомайское</t>
  </si>
  <si>
    <t>69648440</t>
  </si>
  <si>
    <t>96</t>
  </si>
  <si>
    <t>Сергеевское</t>
  </si>
  <si>
    <t>69648445</t>
  </si>
  <si>
    <t>97</t>
  </si>
  <si>
    <t>Улу-Юльское</t>
  </si>
  <si>
    <t>69648450</t>
  </si>
  <si>
    <t>98</t>
  </si>
  <si>
    <t>Тегульдетский</t>
  </si>
  <si>
    <t>69652000</t>
  </si>
  <si>
    <t>Белоярское</t>
  </si>
  <si>
    <t>69652410</t>
  </si>
  <si>
    <t>99</t>
  </si>
  <si>
    <t>Берегаевское</t>
  </si>
  <si>
    <t>69652420</t>
  </si>
  <si>
    <t>100</t>
  </si>
  <si>
    <t>101</t>
  </si>
  <si>
    <t>Тегульдетское</t>
  </si>
  <si>
    <t>69652440</t>
  </si>
  <si>
    <t>102</t>
  </si>
  <si>
    <t>Черноярское</t>
  </si>
  <si>
    <t>69652460</t>
  </si>
  <si>
    <t>103</t>
  </si>
  <si>
    <t>69654000</t>
  </si>
  <si>
    <t>Богашевское</t>
  </si>
  <si>
    <t>69654408</t>
  </si>
  <si>
    <t>104</t>
  </si>
  <si>
    <t>Воронинское</t>
  </si>
  <si>
    <t>69654413</t>
  </si>
  <si>
    <t>105</t>
  </si>
  <si>
    <t>Зональненское</t>
  </si>
  <si>
    <t>69654428</t>
  </si>
  <si>
    <t>107</t>
  </si>
  <si>
    <t>Зоркальцевское</t>
  </si>
  <si>
    <t>69654416</t>
  </si>
  <si>
    <t>108</t>
  </si>
  <si>
    <t>Итатское</t>
  </si>
  <si>
    <t>69654417</t>
  </si>
  <si>
    <t>109</t>
  </si>
  <si>
    <t>Калтайское</t>
  </si>
  <si>
    <t>69654418</t>
  </si>
  <si>
    <t>110</t>
  </si>
  <si>
    <t>Копыловское</t>
  </si>
  <si>
    <t>69654432</t>
  </si>
  <si>
    <t>111</t>
  </si>
  <si>
    <t>Корниловское</t>
  </si>
  <si>
    <t>69654436</t>
  </si>
  <si>
    <t>112</t>
  </si>
  <si>
    <t>69654448</t>
  </si>
  <si>
    <t>113</t>
  </si>
  <si>
    <t>Межениновское</t>
  </si>
  <si>
    <t>69654450</t>
  </si>
  <si>
    <t>114</t>
  </si>
  <si>
    <t>Мирненское</t>
  </si>
  <si>
    <t>69654454</t>
  </si>
  <si>
    <t>115</t>
  </si>
  <si>
    <t>Моряковское</t>
  </si>
  <si>
    <t>69654455</t>
  </si>
  <si>
    <t>116</t>
  </si>
  <si>
    <t>Наумовское</t>
  </si>
  <si>
    <t>69654457</t>
  </si>
  <si>
    <t>117</t>
  </si>
  <si>
    <t>Новорождественское</t>
  </si>
  <si>
    <t>69654460</t>
  </si>
  <si>
    <t>118</t>
  </si>
  <si>
    <t>69654463</t>
  </si>
  <si>
    <t>119</t>
  </si>
  <si>
    <t>Рыбаловское</t>
  </si>
  <si>
    <t>69654480</t>
  </si>
  <si>
    <t>120</t>
  </si>
  <si>
    <t>Спасское</t>
  </si>
  <si>
    <t>69654484</t>
  </si>
  <si>
    <t>121</t>
  </si>
  <si>
    <t>122</t>
  </si>
  <si>
    <t>Турунтаевское</t>
  </si>
  <si>
    <t>69654492</t>
  </si>
  <si>
    <t>123</t>
  </si>
  <si>
    <t>Чаинский</t>
  </si>
  <si>
    <t>69656000</t>
  </si>
  <si>
    <t>Коломинское</t>
  </si>
  <si>
    <t>69656430</t>
  </si>
  <si>
    <t>124</t>
  </si>
  <si>
    <t>Подгорнское</t>
  </si>
  <si>
    <t>69656450</t>
  </si>
  <si>
    <t>125</t>
  </si>
  <si>
    <t>Усть-Бакчарское</t>
  </si>
  <si>
    <t>69656455</t>
  </si>
  <si>
    <t>126</t>
  </si>
  <si>
    <t>127</t>
  </si>
  <si>
    <t>Чаинское</t>
  </si>
  <si>
    <t>69656460</t>
  </si>
  <si>
    <t>128</t>
  </si>
  <si>
    <t>Шегарский</t>
  </si>
  <si>
    <t>69658000</t>
  </si>
  <si>
    <t>Анастасьевское</t>
  </si>
  <si>
    <t>69658405</t>
  </si>
  <si>
    <t>129</t>
  </si>
  <si>
    <t>Баткатское</t>
  </si>
  <si>
    <t>69658415</t>
  </si>
  <si>
    <t>130</t>
  </si>
  <si>
    <t>Побединское</t>
  </si>
  <si>
    <t>69658460</t>
  </si>
  <si>
    <t>131</t>
  </si>
  <si>
    <t>69658450</t>
  </si>
  <si>
    <t>132</t>
  </si>
  <si>
    <t>Трубачевское</t>
  </si>
  <si>
    <t>69658455</t>
  </si>
  <si>
    <t>133</t>
  </si>
  <si>
    <t>134</t>
  </si>
  <si>
    <t>Шегарское</t>
  </si>
  <si>
    <t>69658485</t>
  </si>
  <si>
    <t>135</t>
  </si>
  <si>
    <t>NUMBER_POINT</t>
  </si>
  <si>
    <t>INVP_NAME</t>
  </si>
  <si>
    <t>INVP_ID</t>
  </si>
  <si>
    <t>L_START_DATE</t>
  </si>
  <si>
    <t>L_END_DATE</t>
  </si>
  <si>
    <t>L_DECISION_NAME</t>
  </si>
  <si>
    <t>L_DECISION_TYPE</t>
  </si>
  <si>
    <t>L_DECISION_NMBR</t>
  </si>
  <si>
    <t>L_DECISION_DATE</t>
  </si>
  <si>
    <t>Инвестиционная программа № 1-165 от 29.10.2021 ООО "Стрежевой теплоэнергоснабжение" в сфере теплоснабжения по реконструкции и модернизации существующих объектов котельных и тепловых сетей, на территории городского округа Стрежевой на 2022-2026 годы</t>
  </si>
  <si>
    <t>01.01.2022</t>
  </si>
  <si>
    <t>31.12.2026</t>
  </si>
  <si>
    <t>Инвестиционная программа № 1-639(231) от 29.10.2020 АО "РИР" Филиал в г. Северске в сфере теплоснабжения по развитию, модернизации и реконструкции систем теплоснабжения, на территории городского округа ЗАТО Северск на 2021-2023 годы</t>
  </si>
  <si>
    <t>01.01.2021</t>
  </si>
  <si>
    <t>31.12.2023</t>
  </si>
  <si>
    <t>Инвестиционная программа № 1-639_9(231) от 29.10.2020 Акционерное общество "Русатом Инфраструктурные решения" (АО "РИР") Филиал в г. Северске в сфере теплоснабжения по модернизации объектов, на территории городского округа ЗАТО Северск на 2021-2023 годы</t>
  </si>
  <si>
    <t>Инвестиционная программа от 30.10.2023 АО "РИР" Филиал в г. Северске в сфере теплоснабжения по строительству, реконструкции, модернизации и развитию объектов, на территории городского округа ЗАТО Северск на 2024-2026 годы</t>
  </si>
  <si>
    <t>01.01.2024</t>
  </si>
  <si>
    <t>Инвестиционная программа от 30.10.2023 АО "ТомскРТС" в сфере теплоснабжения по строительству, реконструкции, модернизации и развитию объектов, на территории городского округа Томск на 2024-2028 годы</t>
  </si>
  <si>
    <t>31.12.2028</t>
  </si>
  <si>
    <t>Инвестиционная программа от 30.10.2023 АО "Томская генерация" в сфере теплоснабжения по строительству, реконструкции, модернизации и развитию объектов, на территории городского округа Томск на 2024-2028 годы</t>
  </si>
  <si>
    <t>TER_NAME</t>
  </si>
  <si>
    <t>Территория 1</t>
  </si>
  <si>
    <t>ID_TARIFF_NAME</t>
  </si>
  <si>
    <t>TARIFF_NAME</t>
  </si>
  <si>
    <t>VED_NAME</t>
  </si>
  <si>
    <t>4190064</t>
  </si>
  <si>
    <t>4190065</t>
  </si>
  <si>
    <t>4190066</t>
  </si>
  <si>
    <t>4190067</t>
  </si>
  <si>
    <t>4190068</t>
  </si>
  <si>
    <t>4190069</t>
  </si>
  <si>
    <t>4190070</t>
  </si>
  <si>
    <t>4190071</t>
  </si>
  <si>
    <t>4190072</t>
  </si>
  <si>
    <t>4190073</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</si>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</sst>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66" formatCode="_-* #,##0.00[$€-1]_-;\-* #,##0.00[$€-1]_-;_-* &quot;-&quot;??[$€-1]_-"/>
    <numFmt numFmtId="167" formatCode="#,##0.0"/>
    <numFmt numFmtId="168" formatCode="#,##0.000"/>
    <numFmt numFmtId="169" formatCode="#,##0.0000"/>
    <numFmt numFmtId="170" formatCode="dd\.mm\.yyyy"/>
    <numFmt numFmtId="171" formatCode="000000"/>
    <numFmt numFmtId="172" formatCode="h:mm;@"/>
  </numFmts>
  <fonts count="115">
    <font>
      <sz val="9"/>
      <color rgb="FF000000"/>
      <name val="Tahoma"/>
    </font>
    <font>
      <sz val="11"/>
      <color theme="1"/>
      <name val="Calibri"/>
      <scheme val="minor"/>
    </font>
    <font>
      <sz val="12"/>
      <name val="Arial"/>
    </font>
    <font>
      <sz val="10"/>
      <name val="Helv"/>
    </font>
    <font>
      <sz val="8"/>
      <name val="Arial"/>
    </font>
    <font>
      <sz val="9"/>
      <name val="Tahoma"/>
    </font>
    <font>
      <sz val="8"/>
      <name val="Palatino"/>
    </font>
    <font>
      <u/>
      <sz val="10"/>
      <color rgb="FF800080"/>
      <name val="Arial Cyr"/>
    </font>
    <font>
      <sz val="8"/>
      <name val="Helv"/>
    </font>
    <font>
      <sz val="10"/>
      <name val="Arial"/>
    </font>
    <font>
      <sz val="10"/>
      <name val="Arial Cyr"/>
    </font>
    <font>
      <u/>
      <sz val="9"/>
      <color theme="11"/>
      <name val="Tahoma"/>
    </font>
    <font>
      <sz val="9"/>
      <color rgb="FFFFFFFF"/>
      <name val="Tahoma"/>
    </font>
    <font>
      <sz val="9"/>
      <color rgb="FFCC0000"/>
      <name val="Tahoma"/>
    </font>
    <font>
      <sz val="16"/>
      <name val="Tahoma"/>
    </font>
    <font>
      <sz val="16"/>
      <color rgb="FFFFFFFF"/>
      <name val="Tahoma"/>
    </font>
    <font>
      <sz val="9"/>
      <color rgb="FFBCBCBC"/>
      <name val="Tahoma"/>
    </font>
    <font>
      <sz val="11"/>
      <color rgb="FFBCBCBC"/>
      <name val="Wingdings 2"/>
    </font>
    <font>
      <b/>
      <u/>
      <sz val="9"/>
      <name val="Tahoma"/>
    </font>
    <font>
      <sz val="11"/>
      <name val="Webdings2"/>
    </font>
    <font>
      <sz val="9"/>
      <color rgb="FF000080"/>
      <name val="Tahoma"/>
    </font>
    <font>
      <b/>
      <sz val="11"/>
      <color rgb="FF000000"/>
      <name val="Calibri"/>
    </font>
    <font>
      <sz val="11"/>
      <name val="Wingdings 2"/>
    </font>
    <font>
      <b/>
      <sz val="9"/>
      <color rgb="FFFFFFFF"/>
      <name val="Tahoma"/>
    </font>
    <font>
      <b/>
      <u/>
      <sz val="9"/>
      <color rgb="FF000080"/>
      <name val="Tahoma"/>
    </font>
    <font>
      <sz val="8"/>
      <name val="Tahoma"/>
    </font>
    <font>
      <sz val="10"/>
      <name val="Tahoma"/>
    </font>
    <font>
      <sz val="9"/>
      <color theme="0"/>
      <name val="Tahoma"/>
    </font>
    <font>
      <sz val="1"/>
      <color theme="0"/>
      <name val="Tahoma"/>
    </font>
    <font>
      <b/>
      <sz val="1"/>
      <color theme="0"/>
      <name val="Calibri"/>
    </font>
    <font>
      <b/>
      <sz val="9"/>
      <name val="Tahoma"/>
    </font>
    <font>
      <sz val="8"/>
      <color rgb="FFBCBCBC"/>
      <name val="Tahoma"/>
    </font>
    <font>
      <sz val="12"/>
      <color rgb="FF000000"/>
      <name val="Tahoma"/>
    </font>
    <font>
      <sz val="11"/>
      <color rgb="FF000000"/>
      <name val="Calibri"/>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name val="Tahoma"/>
    </font>
    <font>
      <sz val="3"/>
      <color rgb="FF000000"/>
      <name val="Tahoma"/>
    </font>
    <font>
      <sz val="3"/>
      <color rgb="FF993300"/>
      <name val="Tahoma"/>
    </font>
    <font>
      <sz val="1"/>
      <color rgb="FFFFFFFF"/>
      <name val="Tahoma"/>
    </font>
    <font>
      <sz val="18"/>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name val="Tahoma"/>
    </font>
    <font>
      <sz val="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name val="Marlett"/>
    </font>
    <font>
      <sz val="9"/>
      <color rgb="FFBCBCBC"/>
      <name val="Wingdings 2"/>
    </font>
    <font>
      <sz val="12"/>
      <name val="Tahoma"/>
    </font>
    <font>
      <sz val="15"/>
      <color theme="0"/>
      <name val="Tahoma"/>
    </font>
    <font>
      <sz val="1"/>
      <color rgb="FFFF0000"/>
      <name val="Tahoma"/>
    </font>
    <font>
      <b/>
      <sz val="11"/>
      <color theme="0"/>
      <name val="Calibri"/>
    </font>
    <font>
      <sz val="11"/>
      <color theme="0"/>
      <name val="Tahoma"/>
    </font>
    <font>
      <sz val="3"/>
      <color theme="0"/>
      <name val="Tahoma"/>
    </font>
    <font>
      <b/>
      <sz val="3"/>
      <name val="Tahoma"/>
    </font>
    <font>
      <b/>
      <sz val="9"/>
      <color rgb="FF0070C0"/>
      <name val="Tahoma"/>
    </font>
    <font>
      <sz val="7"/>
      <name val="Tahoma"/>
    </font>
    <font>
      <sz val="7"/>
      <color rgb="FFFFFFFF"/>
      <name val="Tahoma"/>
    </font>
    <font>
      <sz val="7"/>
      <color theme="0" tint="-0.499984740745262"/>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name val="Tahoma"/>
    </font>
    <font>
      <b/>
      <sz val="1"/>
      <color rgb="FF000080"/>
      <name val="Tahoma"/>
    </font>
    <font>
      <b/>
      <sz val="10"/>
      <name val="Tahoma"/>
    </font>
    <font>
      <b/>
      <sz val="9"/>
      <color rgb="FF000000"/>
      <name val="Tahoma"/>
    </font>
    <font>
      <sz val="10"/>
      <color rgb="FF000000"/>
      <name val="Arial"/>
    </font>
    <font>
      <sz val="8"/>
      <color rgb="FF000080"/>
      <name val="Tahoma"/>
    </font>
    <font>
      <sz val="1"/>
      <name val="Webdings2"/>
    </font>
    <font>
      <sz val="1"/>
      <color theme="0"/>
      <name val="Webdings2"/>
    </font>
    <font>
      <b/>
      <sz val="9"/>
      <name val="Calibri"/>
    </font>
    <font>
      <sz val="1"/>
      <color rgb="FF000080"/>
      <name val="Tahoma"/>
    </font>
    <font>
      <sz val="9"/>
      <color theme="0"/>
      <name val="Webdings2"/>
    </font>
    <font>
      <sz val="1"/>
      <color theme="0"/>
      <name val="Wingdings 2"/>
    </font>
    <font>
      <sz val="18"/>
      <color theme="0"/>
      <name val="Tahoma"/>
    </font>
    <font>
      <sz val="9"/>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b/>
      <sz val="8"/>
      <color theme="0"/>
      <name val="Wingdings 2"/>
    </font>
    <font>
      <b/>
      <sz val="9"/>
      <color rgb="FFCC0000"/>
      <name val="Tahoma"/>
    </font>
    <font>
      <u/>
      <sz val="9"/>
      <name val="Tahoma"/>
    </font>
    <font>
      <sz val="9"/>
      <color rgb="FF000000"/>
      <name val="Tahoma"/>
    </font>
    <font>
      <b/>
      <sz val="9"/>
      <name val="Tahoma"/>
      <family val="2"/>
      <charset val="204"/>
    </font>
    <font>
      <sz val="9"/>
      <name val="Tahoma"/>
      <family val="2"/>
      <charset val="204"/>
    </font>
    <font>
      <vertAlign val="superscript"/>
      <sz val="9"/>
      <name val="Tahoma"/>
      <family val="2"/>
      <charset val="204"/>
    </font>
    <font>
      <sz val="9"/>
      <color indexed="81"/>
      <name val="Arial"/>
      <family val="2"/>
    </font>
    <font>
      <sz val="9"/>
      <color indexed="81"/>
      <name val="Tahoma"/>
      <family val="2"/>
    </font>
  </fonts>
  <fills count="32">
    <fill>
      <patternFill patternType="none"/>
    </fill>
    <fill>
      <patternFill patternType="gray125"/>
    </fill>
    <fill>
      <patternFill patternType="solid">
        <fgColor theme="5" tint="0.79998168889431442"/>
        <bgColor indexed="65"/>
      </patternFill>
    </fill>
    <fill>
      <patternFill patternType="solid">
        <fgColor theme="7" tint="0.79998168889431442"/>
        <bgColor indexed="65"/>
      </patternFill>
    </fill>
    <fill>
      <patternFill patternType="solid">
        <fgColor theme="9" tint="0.79998168889431442"/>
        <bgColor indexed="65"/>
      </patternFill>
    </fill>
    <fill>
      <patternFill patternType="solid">
        <fgColor theme="6" tint="0.39997558519241921"/>
        <bgColor indexed="65"/>
      </patternFill>
    </fill>
    <fill>
      <patternFill patternType="solid">
        <fgColor rgb="FFFFFF99"/>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9.9978637043366805E-2"/>
        <bgColor indexed="65"/>
      </patternFill>
    </fill>
    <fill>
      <patternFill patternType="solid">
        <fgColor theme="9" tint="-0.249977111117893"/>
        <bgColor indexed="65"/>
      </patternFill>
    </fill>
    <fill>
      <patternFill patternType="solid">
        <fgColor theme="0" tint="-0.14999847407452621"/>
        <bgColor indexed="6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00CCFF"/>
      </patternFill>
    </fill>
    <fill>
      <patternFill patternType="solid">
        <fgColor rgb="FFBCBCBC"/>
      </patternFill>
    </fill>
    <fill>
      <patternFill patternType="solid">
        <fgColor rgb="FFEAEBEE"/>
      </patternFill>
    </fill>
    <fill>
      <patternFill patternType="solid">
        <fgColor theme="8" tint="0.59999389629810485"/>
        <bgColor indexed="64"/>
      </patternFill>
    </fill>
  </fills>
  <borders count="66">
    <border>
      <left/>
      <right/>
      <top/>
      <bottom/>
      <diagonal/>
    </border>
    <border>
      <left style="thin">
        <color rgb="FF000000"/>
      </left>
      <right style="thin">
        <color rgb="FF000000"/>
      </right>
      <top style="thin">
        <color rgb="FF000000"/>
      </top>
      <bottom style="thin">
        <color rgb="FF000000"/>
      </bottom>
      <diagonal/>
    </border>
    <border>
      <left style="thin">
        <color rgb="FFBCBCBC"/>
      </left>
      <right style="thin">
        <color rgb="FFBCBCBC"/>
      </right>
      <top style="thin">
        <color rgb="FFBCBCBC"/>
      </top>
      <bottom style="thin">
        <color rgb="FFBCBCBC"/>
      </bottom>
      <diagonal/>
    </border>
    <border>
      <left style="thin">
        <color rgb="FFC0C0C0"/>
      </left>
      <right style="thin">
        <color rgb="FFC0C0C0"/>
      </right>
      <top style="thin">
        <color rgb="FFC0C0C0"/>
      </top>
      <bottom style="thin">
        <color rgb="FFC0C0C0"/>
      </bottom>
      <diagonal/>
    </border>
    <border>
      <left/>
      <right style="thin">
        <color rgb="FFC0C0C0"/>
      </right>
      <top style="thin">
        <color rgb="FFC0C0C0"/>
      </top>
      <bottom style="thin">
        <color rgb="FFC0C0C0"/>
      </bottom>
      <diagonal/>
    </border>
    <border>
      <left style="thin">
        <color rgb="FFC0C0C0"/>
      </left>
      <right/>
      <top style="thin">
        <color rgb="FFC0C0C0"/>
      </top>
      <bottom style="thin">
        <color rgb="FFC0C0C0"/>
      </bottom>
      <diagonal/>
    </border>
    <border>
      <left/>
      <right/>
      <top style="thin">
        <color rgb="FFC0C0C0"/>
      </top>
      <bottom style="thin">
        <color rgb="FFC0C0C0"/>
      </bottom>
      <diagonal/>
    </border>
    <border>
      <left style="thin">
        <color rgb="FFD3DBDB"/>
      </left>
      <right style="thin">
        <color rgb="FFD3DBDB"/>
      </right>
      <top style="thin">
        <color rgb="FFD3DBDB"/>
      </top>
      <bottom style="thin">
        <color rgb="FFD3DBDB"/>
      </bottom>
      <diagonal/>
    </border>
    <border>
      <left style="thin">
        <color rgb="FFC0C0C0"/>
      </left>
      <right style="thin">
        <color rgb="FFC0C0C0"/>
      </right>
      <top style="thin">
        <color rgb="FFC0C0C0"/>
      </top>
      <bottom/>
      <diagonal/>
    </border>
    <border>
      <left/>
      <right/>
      <top style="dotted">
        <color rgb="FF000000"/>
      </top>
      <bottom style="dotted">
        <color rgb="FF000000"/>
      </bottom>
      <diagonal/>
    </border>
    <border>
      <left/>
      <right/>
      <top style="thin">
        <color rgb="FFC0C0C0"/>
      </top>
      <bottom/>
      <diagonal/>
    </border>
    <border>
      <left/>
      <right style="thin">
        <color rgb="FFC0C0C0"/>
      </right>
      <top style="thin">
        <color rgb="FFC0C0C0"/>
      </top>
      <bottom/>
      <diagonal/>
    </border>
    <border>
      <left/>
      <right/>
      <top style="thin">
        <color rgb="FFD3DBDB"/>
      </top>
      <bottom/>
      <diagonal/>
    </border>
    <border>
      <left style="thin">
        <color rgb="FFC0C0C0"/>
      </left>
      <right/>
      <top/>
      <bottom/>
      <diagonal/>
    </border>
    <border>
      <left style="thin">
        <color rgb="FFC0C0C0"/>
      </left>
      <right style="thin">
        <color rgb="FFC0C0C0"/>
      </right>
      <top/>
      <bottom style="thin">
        <color rgb="FFC0C0C0"/>
      </bottom>
      <diagonal/>
    </border>
    <border>
      <left/>
      <right style="thin">
        <color rgb="FFC0C0C0"/>
      </right>
      <top/>
      <bottom/>
      <diagonal/>
    </border>
    <border>
      <left style="thin">
        <color rgb="FFC0C0C0"/>
      </left>
      <right style="thin">
        <color rgb="FFC0C0C0"/>
      </right>
      <top style="thin">
        <color rgb="FFC0C0C0"/>
      </top>
      <bottom style="thin">
        <color rgb="FFBCBCBC"/>
      </bottom>
      <diagonal/>
    </border>
    <border>
      <left style="hair">
        <color rgb="FFC0C0C0"/>
      </left>
      <right/>
      <top style="hair">
        <color rgb="FFC0C0C0"/>
      </top>
      <bottom style="hair">
        <color rgb="FFC0C0C0"/>
      </bottom>
      <diagonal/>
    </border>
    <border>
      <left/>
      <right/>
      <top/>
      <bottom style="thin">
        <color rgb="FFC0C0C0"/>
      </bottom>
      <diagonal/>
    </border>
    <border>
      <left style="thin">
        <color theme="0" tint="-0.249977111117893"/>
      </left>
      <right style="thin">
        <color rgb="FFC0C0C0"/>
      </right>
      <top style="thin">
        <color rgb="FFC0C0C0"/>
      </top>
      <bottom style="thin">
        <color rgb="FFC0C0C0"/>
      </bottom>
      <diagonal/>
    </border>
    <border>
      <left/>
      <right style="thin">
        <color rgb="FFC0C0C0"/>
      </right>
      <top/>
      <bottom style="thin">
        <color rgb="FFC0C0C0"/>
      </bottom>
      <diagonal/>
    </border>
    <border>
      <left style="thin">
        <color rgb="FFC0C0C0"/>
      </left>
      <right/>
      <top/>
      <bottom style="thin">
        <color rgb="FFC0C0C0"/>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style="thin">
        <color theme="0" tint="-0.249977111117893"/>
      </left>
      <right/>
      <top/>
      <bottom style="thin">
        <color theme="0" tint="-0.249977111117893"/>
      </bottom>
      <diagonal/>
    </border>
    <border>
      <left style="thin">
        <color theme="0" tint="-0.249977111117893"/>
      </left>
      <right style="thin">
        <color theme="0" tint="-0.249977111117893"/>
      </right>
      <top style="thin">
        <color theme="0" tint="-0.249977111117893"/>
      </top>
      <bottom/>
      <diagonal/>
    </border>
    <border>
      <left style="thin">
        <color rgb="FFC0C0C0"/>
      </left>
      <right style="thin">
        <color rgb="FFC0C0C0"/>
      </right>
      <top/>
      <bottom/>
      <diagonal/>
    </border>
    <border>
      <left style="thin">
        <color rgb="FFC0C0C0"/>
      </left>
      <right/>
      <top style="thin">
        <color rgb="FFC0C0C0"/>
      </top>
      <bottom/>
      <diagonal/>
    </border>
    <border>
      <left style="thin">
        <color rgb="FFBCBCBC"/>
      </left>
      <right/>
      <top/>
      <bottom/>
      <diagonal/>
    </border>
    <border>
      <left/>
      <right/>
      <top/>
      <bottom style="thin">
        <color rgb="FFBCBCBC"/>
      </bottom>
      <diagonal/>
    </border>
    <border>
      <left style="thin">
        <color theme="0" tint="-0.249977111117893"/>
      </left>
      <right style="thin">
        <color theme="0" tint="-0.249977111117893"/>
      </right>
      <top/>
      <bottom/>
      <diagonal/>
    </border>
    <border>
      <left/>
      <right/>
      <top style="thin">
        <color rgb="FFBCBCBC"/>
      </top>
      <bottom style="thin">
        <color rgb="FFBCBCBC"/>
      </bottom>
      <diagonal/>
    </border>
    <border>
      <left style="thin">
        <color rgb="FFC0C0C0"/>
      </left>
      <right/>
      <top style="thin">
        <color rgb="FFBCBCBC"/>
      </top>
      <bottom style="thin">
        <color rgb="FFC0C0C0"/>
      </bottom>
      <diagonal/>
    </border>
    <border>
      <left/>
      <right/>
      <top style="thin">
        <color rgb="FFBCBCBC"/>
      </top>
      <bottom style="thin">
        <color rgb="FFC0C0C0"/>
      </bottom>
      <diagonal/>
    </border>
    <border>
      <left/>
      <right/>
      <top style="thin">
        <color rgb="FFD3DBDB"/>
      </top>
      <bottom style="thin">
        <color rgb="FFD3DBDB"/>
      </bottom>
      <diagonal/>
    </border>
    <border>
      <left style="thin">
        <color rgb="FFD3DBDB"/>
      </left>
      <right/>
      <top style="thin">
        <color rgb="FFD3DBDB"/>
      </top>
      <bottom style="thin">
        <color rgb="FFD3DBDB"/>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rgb="FFBCBCBC"/>
      </left>
      <right/>
      <top style="medium">
        <color rgb="FFBCBCBC"/>
      </top>
      <bottom style="thin">
        <color rgb="FFC0C0C0"/>
      </bottom>
      <diagonal/>
    </border>
    <border>
      <left style="thin">
        <color rgb="FFBCBCBC"/>
      </left>
      <right/>
      <top style="medium">
        <color rgb="FFBCBCBC"/>
      </top>
      <bottom/>
      <diagonal/>
    </border>
    <border>
      <left/>
      <right/>
      <top style="medium">
        <color rgb="FFBCBCBC"/>
      </top>
      <bottom/>
      <diagonal/>
    </border>
    <border>
      <left/>
      <right/>
      <top/>
      <bottom style="medium">
        <color rgb="FFC0C0C0"/>
      </bottom>
      <diagonal/>
    </border>
    <border>
      <left/>
      <right/>
      <top style="thin">
        <color rgb="FFC0C0C0"/>
      </top>
      <bottom style="medium">
        <color rgb="FFC0C0C0"/>
      </bottom>
      <diagonal/>
    </border>
    <border>
      <left/>
      <right style="thin">
        <color theme="0" tint="-0.249977111117893"/>
      </right>
      <top style="thin">
        <color rgb="FFC0C0C0"/>
      </top>
      <bottom style="thin">
        <color rgb="FFC0C0C0"/>
      </bottom>
      <diagonal/>
    </border>
    <border>
      <left/>
      <right/>
      <top style="medium">
        <color rgb="FFBCBCBC"/>
      </top>
      <bottom style="thin">
        <color rgb="FFBCBCBC"/>
      </bottom>
      <diagonal/>
    </border>
    <border>
      <left/>
      <right style="thin">
        <color rgb="FFBCBCBC"/>
      </right>
      <top style="medium">
        <color rgb="FFBCBCBC"/>
      </top>
      <bottom style="thin">
        <color rgb="FFBCBCBC"/>
      </bottom>
      <diagonal/>
    </border>
    <border>
      <left/>
      <right/>
      <top style="medium">
        <color rgb="FFC0C0C0"/>
      </top>
      <bottom style="thin">
        <color rgb="FFC0C0C0"/>
      </bottom>
      <diagonal/>
    </border>
    <border>
      <left style="thin">
        <color rgb="FFC0C0C0"/>
      </left>
      <right/>
      <top style="thin">
        <color rgb="FFC0C0C0"/>
      </top>
      <bottom style="medium">
        <color rgb="FFC0C0C0"/>
      </bottom>
      <diagonal/>
    </border>
    <border>
      <left style="thin">
        <color theme="0" tint="-0.249977111117893"/>
      </left>
      <right style="thin">
        <color rgb="FFC0C0C0"/>
      </right>
      <top style="thin">
        <color rgb="FFC0C0C0"/>
      </top>
      <bottom/>
      <diagonal/>
    </border>
    <border>
      <left style="thin">
        <color theme="0" tint="-0.249977111117893"/>
      </left>
      <right/>
      <top style="thin">
        <color rgb="FFC0C0C0"/>
      </top>
      <bottom style="thin">
        <color rgb="FFC0C0C0"/>
      </bottom>
      <diagonal/>
    </border>
    <border>
      <left style="thin">
        <color theme="0" tint="-0.249977111117893"/>
      </left>
      <right/>
      <top style="thin">
        <color rgb="FFC0C0C0"/>
      </top>
      <bottom/>
      <diagonal/>
    </border>
    <border>
      <left style="thin">
        <color rgb="FFBCBCBC"/>
      </left>
      <right/>
      <top style="thin">
        <color rgb="FFBCBCBC"/>
      </top>
      <bottom/>
      <diagonal/>
    </border>
    <border>
      <left/>
      <right/>
      <top style="thin">
        <color rgb="FFBCBCBC"/>
      </top>
      <bottom/>
      <diagonal/>
    </border>
    <border>
      <left style="thin">
        <color rgb="FFBCBCBC"/>
      </left>
      <right/>
      <top/>
      <bottom style="thin">
        <color rgb="FFBCBCBC"/>
      </bottom>
      <diagonal/>
    </border>
    <border>
      <left style="thin">
        <color rgb="FF999999"/>
      </left>
      <right/>
      <top style="thin">
        <color rgb="FF999999"/>
      </top>
      <bottom style="thin">
        <color rgb="FF999999"/>
      </bottom>
      <diagonal/>
    </border>
    <border>
      <left/>
      <right/>
      <top style="thin">
        <color rgb="FF999999"/>
      </top>
      <bottom style="thin">
        <color rgb="FF999999"/>
      </bottom>
      <diagonal/>
    </border>
    <border>
      <left/>
      <right style="thin">
        <color rgb="FF999999"/>
      </right>
      <top style="thin">
        <color rgb="FF999999"/>
      </top>
      <bottom style="thin">
        <color rgb="FF999999"/>
      </bottom>
      <diagonal/>
    </border>
    <border>
      <left/>
      <right style="thin">
        <color rgb="FFBCBCBC"/>
      </right>
      <top/>
      <bottom/>
      <diagonal/>
    </border>
    <border>
      <left/>
      <right style="thin">
        <color rgb="FFBCBCBC"/>
      </right>
      <top style="thin">
        <color rgb="FFBCBCBC"/>
      </top>
      <bottom/>
      <diagonal/>
    </border>
    <border>
      <left style="thin">
        <color rgb="FFC0C0C0"/>
      </left>
      <right style="thin">
        <color rgb="FFC0C0C0"/>
      </right>
      <top style="thin">
        <color rgb="FFBCBCBC"/>
      </top>
      <bottom style="thin">
        <color rgb="FFBCBCBC"/>
      </bottom>
      <diagonal/>
    </border>
    <border>
      <left style="thin">
        <color rgb="FFC0C0C0"/>
      </left>
      <right/>
      <top style="thin">
        <color rgb="FFBCBCBC"/>
      </top>
      <bottom style="thin">
        <color rgb="FFBCBCBC"/>
      </bottom>
      <diagonal/>
    </border>
    <border>
      <left/>
      <right style="thin">
        <color rgb="FFC0C0C0"/>
      </right>
      <top style="thin">
        <color rgb="FFBCBCBC"/>
      </top>
      <bottom style="thin">
        <color rgb="FFBCBCBC"/>
      </bottom>
      <diagonal/>
    </border>
    <border>
      <left style="thin">
        <color rgb="FFBCBCBC"/>
      </left>
      <right/>
      <top style="thin">
        <color rgb="FFBCBCBC"/>
      </top>
      <bottom style="thin">
        <color rgb="FFBCBCBC"/>
      </bottom>
      <diagonal/>
    </border>
    <border>
      <left/>
      <right style="thin">
        <color rgb="FFBCBCBC"/>
      </right>
      <top style="thin">
        <color rgb="FFBCBCBC"/>
      </top>
      <bottom style="thin">
        <color rgb="FFBCBCBC"/>
      </bottom>
      <diagonal/>
    </border>
    <border>
      <left style="thin">
        <color rgb="FFBCBCBC"/>
      </left>
      <right/>
      <top style="thin">
        <color rgb="FFBCBCBC"/>
      </top>
      <bottom style="thin">
        <color rgb="FFC0C0C0"/>
      </bottom>
      <diagonal/>
    </border>
    <border>
      <left style="thin">
        <color rgb="FFC0C0C0"/>
      </left>
      <right style="thin">
        <color rgb="FFC0C0C0"/>
      </right>
      <top style="thin">
        <color rgb="FFC0C0C0"/>
      </top>
      <bottom style="medium">
        <color rgb="FFC0C0C0"/>
      </bottom>
      <diagonal/>
    </border>
  </borders>
  <cellStyleXfs count="16">
    <xf numFmtId="49" fontId="0" fillId="0" borderId="0" applyFill="0" applyBorder="0">
      <alignment vertical="top"/>
    </xf>
    <xf numFmtId="0" fontId="2" fillId="0" borderId="0" applyFill="0" applyBorder="0">
      <alignment vertical="top"/>
    </xf>
    <xf numFmtId="0" fontId="3" fillId="0" borderId="0" applyFill="0" applyBorder="0"/>
    <xf numFmtId="166" fontId="3" fillId="0" borderId="0" applyFill="0" applyBorder="0"/>
    <xf numFmtId="38" fontId="4" fillId="0" borderId="0" applyFill="0" applyBorder="0">
      <alignment vertical="top"/>
    </xf>
    <xf numFmtId="167" fontId="5" fillId="6" borderId="0" applyBorder="0">
      <protection locked="0"/>
    </xf>
    <xf numFmtId="0" fontId="6" fillId="0" borderId="0" applyFill="0" applyBorder="0">
      <alignment vertical="center"/>
    </xf>
    <xf numFmtId="168" fontId="5" fillId="6" borderId="0" applyBorder="0">
      <protection locked="0"/>
    </xf>
    <xf numFmtId="169" fontId="5" fillId="6" borderId="0" applyBorder="0">
      <protection locked="0"/>
    </xf>
    <xf numFmtId="0" fontId="7" fillId="0" borderId="0" applyFill="0" applyBorder="0">
      <alignment vertical="top"/>
    </xf>
    <xf numFmtId="0" fontId="8" fillId="0" borderId="0" applyFill="0" applyBorder="0"/>
    <xf numFmtId="49" fontId="5" fillId="0" borderId="0" applyFill="0" applyBorder="0">
      <alignment vertical="top"/>
    </xf>
    <xf numFmtId="0" fontId="9" fillId="0" borderId="0" applyFill="0" applyBorder="0"/>
    <xf numFmtId="49" fontId="109" fillId="0" borderId="0" applyFill="0" applyBorder="0">
      <alignment vertical="top"/>
    </xf>
    <xf numFmtId="0" fontId="10" fillId="0" borderId="0" applyFill="0" applyBorder="0"/>
    <xf numFmtId="0" fontId="11" fillId="0" borderId="0" applyFill="0" applyBorder="0">
      <alignment vertical="top"/>
    </xf>
  </cellStyleXfs>
  <cellXfs count="899">
    <xf numFmtId="49" fontId="0" fillId="0" borderId="0" xfId="0">
      <alignment vertical="top"/>
    </xf>
    <xf numFmtId="49" fontId="26" fillId="19" borderId="51" xfId="0" applyFont="1" applyFill="1" applyBorder="1">
      <alignment vertical="top"/>
    </xf>
    <xf numFmtId="49" fontId="109" fillId="0" borderId="0" xfId="13">
      <alignment vertical="top"/>
    </xf>
    <xf numFmtId="0" fontId="10" fillId="0" borderId="0" xfId="14"/>
    <xf numFmtId="49" fontId="5" fillId="0" borderId="0" xfId="0" applyFont="1">
      <alignment vertical="top"/>
    </xf>
    <xf numFmtId="49" fontId="5" fillId="7" borderId="1" xfId="0" applyNumberFormat="1" applyFont="1" applyFill="1" applyBorder="1">
      <alignment vertical="top"/>
    </xf>
    <xf numFmtId="49" fontId="5" fillId="8" borderId="0" xfId="0" applyFont="1" applyFill="1">
      <alignment vertical="top"/>
    </xf>
    <xf numFmtId="49" fontId="12" fillId="0" borderId="0" xfId="0" applyFont="1">
      <alignment vertical="top"/>
    </xf>
    <xf numFmtId="49" fontId="13" fillId="0" borderId="0" xfId="0" applyFont="1">
      <alignment vertical="top"/>
    </xf>
    <xf numFmtId="49" fontId="14" fillId="8" borderId="0" xfId="0" applyFont="1" applyFill="1">
      <alignment vertical="top"/>
    </xf>
    <xf numFmtId="49" fontId="15" fillId="8" borderId="0" xfId="0" applyFont="1" applyFill="1">
      <alignment vertical="top"/>
    </xf>
    <xf numFmtId="49" fontId="5" fillId="8" borderId="0" xfId="0" applyNumberFormat="1" applyFont="1" applyFill="1">
      <alignment vertical="top"/>
    </xf>
    <xf numFmtId="49" fontId="14" fillId="8" borderId="0" xfId="0" applyNumberFormat="1" applyFont="1" applyFill="1">
      <alignment vertical="top"/>
    </xf>
    <xf numFmtId="49" fontId="0" fillId="8" borderId="0" xfId="0" applyNumberFormat="1" applyFont="1" applyFill="1">
      <alignment vertical="top"/>
    </xf>
    <xf numFmtId="49" fontId="16" fillId="8" borderId="0" xfId="0" applyNumberFormat="1" applyFont="1" applyFill="1">
      <alignment vertical="top"/>
    </xf>
    <xf numFmtId="49" fontId="17" fillId="8" borderId="0" xfId="0" applyFont="1" applyFill="1">
      <alignment vertical="top"/>
    </xf>
    <xf numFmtId="49" fontId="17" fillId="0" borderId="0" xfId="0" applyFont="1">
      <alignment vertical="top"/>
    </xf>
    <xf numFmtId="49" fontId="18" fillId="0" borderId="2" xfId="0" applyNumberFormat="1" applyFont="1" applyBorder="1">
      <alignment vertical="top"/>
    </xf>
    <xf numFmtId="49" fontId="0" fillId="0" borderId="2" xfId="0" applyFont="1" applyBorder="1">
      <alignment vertical="top"/>
    </xf>
    <xf numFmtId="49" fontId="19" fillId="8" borderId="0" xfId="0" applyFont="1" applyFill="1">
      <alignment vertical="top"/>
    </xf>
    <xf numFmtId="49" fontId="19" fillId="0" borderId="0" xfId="0" applyFont="1">
      <alignment vertical="top"/>
    </xf>
    <xf numFmtId="49" fontId="12" fillId="0" borderId="0" xfId="0" applyNumberFormat="1" applyFont="1">
      <alignment vertical="top"/>
    </xf>
    <xf numFmtId="49" fontId="0" fillId="0" borderId="0" xfId="0" applyFont="1">
      <alignment vertical="top"/>
    </xf>
    <xf numFmtId="49" fontId="5" fillId="0" borderId="0" xfId="0" applyNumberFormat="1" applyFont="1">
      <alignment vertical="top"/>
    </xf>
    <xf numFmtId="49" fontId="5" fillId="8" borderId="3" xfId="0" applyFont="1" applyFill="1" applyBorder="1">
      <alignment vertical="top"/>
    </xf>
    <xf numFmtId="49" fontId="5" fillId="9" borderId="3" xfId="0" applyNumberFormat="1" applyFont="1" applyFill="1" applyBorder="1">
      <alignment vertical="top"/>
    </xf>
    <xf numFmtId="49" fontId="20" fillId="10" borderId="4" xfId="0" applyNumberFormat="1" applyFont="1" applyFill="1" applyBorder="1">
      <alignment vertical="top"/>
    </xf>
    <xf numFmtId="49" fontId="0" fillId="0" borderId="3" xfId="0" applyFont="1" applyBorder="1">
      <alignment vertical="top"/>
    </xf>
    <xf numFmtId="49" fontId="5" fillId="10" borderId="5" xfId="0" applyFont="1" applyFill="1" applyBorder="1">
      <alignment vertical="top"/>
    </xf>
    <xf numFmtId="49" fontId="5" fillId="0" borderId="3" xfId="0" applyFont="1" applyBorder="1">
      <alignment vertical="top"/>
    </xf>
    <xf numFmtId="49" fontId="21" fillId="0" borderId="0" xfId="0" applyFont="1">
      <alignment vertical="top"/>
    </xf>
    <xf numFmtId="49" fontId="5" fillId="0" borderId="3" xfId="0" applyNumberFormat="1" applyFont="1" applyBorder="1">
      <alignment vertical="top"/>
    </xf>
    <xf numFmtId="49" fontId="22" fillId="0" borderId="0" xfId="0" applyFont="1">
      <alignment vertical="top"/>
    </xf>
    <xf numFmtId="49" fontId="17" fillId="0" borderId="0" xfId="0" applyNumberFormat="1" applyFont="1">
      <alignment vertical="top"/>
    </xf>
    <xf numFmtId="49" fontId="23" fillId="8" borderId="0" xfId="0" applyFont="1" applyFill="1">
      <alignment vertical="top"/>
    </xf>
    <xf numFmtId="49" fontId="12" fillId="8" borderId="0" xfId="0" applyFont="1" applyFill="1">
      <alignment vertical="top"/>
    </xf>
    <xf numFmtId="49" fontId="24" fillId="10" borderId="6" xfId="0" applyNumberFormat="1" applyFont="1" applyFill="1" applyBorder="1">
      <alignment vertical="top"/>
    </xf>
    <xf numFmtId="49" fontId="20" fillId="10" borderId="6" xfId="0" applyNumberFormat="1" applyFont="1" applyFill="1" applyBorder="1">
      <alignment vertical="top"/>
    </xf>
    <xf numFmtId="49" fontId="25" fillId="0" borderId="0" xfId="0" applyNumberFormat="1" applyFont="1">
      <alignment vertical="top"/>
    </xf>
    <xf numFmtId="49" fontId="25" fillId="0" borderId="0" xfId="0" applyFont="1">
      <alignment vertical="top"/>
    </xf>
    <xf numFmtId="49" fontId="26" fillId="0" borderId="0" xfId="0" applyFont="1">
      <alignment vertical="top"/>
    </xf>
    <xf numFmtId="49" fontId="5" fillId="0" borderId="7" xfId="0" applyFont="1" applyBorder="1">
      <alignment vertical="top"/>
    </xf>
    <xf numFmtId="49" fontId="10" fillId="0" borderId="0" xfId="0" applyFont="1">
      <alignment vertical="top"/>
    </xf>
    <xf numFmtId="49" fontId="27" fillId="0" borderId="0" xfId="0" applyFont="1">
      <alignment vertical="top"/>
    </xf>
    <xf numFmtId="49" fontId="0" fillId="8" borderId="3" xfId="0" applyNumberFormat="1" applyFont="1" applyFill="1" applyBorder="1">
      <alignment vertical="top"/>
    </xf>
    <xf numFmtId="49" fontId="5" fillId="8" borderId="8" xfId="0" applyFont="1" applyFill="1" applyBorder="1">
      <alignment vertical="top"/>
    </xf>
    <xf numFmtId="49" fontId="28" fillId="0" borderId="0" xfId="0" applyFont="1">
      <alignment vertical="top"/>
    </xf>
    <xf numFmtId="49" fontId="29" fillId="0" borderId="0" xfId="0" applyFont="1">
      <alignment vertical="top"/>
    </xf>
    <xf numFmtId="49" fontId="26" fillId="0" borderId="9" xfId="0" applyFont="1" applyBorder="1">
      <alignment vertical="top"/>
    </xf>
    <xf numFmtId="49" fontId="0" fillId="0" borderId="3" xfId="0" applyNumberFormat="1" applyFont="1" applyBorder="1">
      <alignment vertical="top"/>
    </xf>
    <xf numFmtId="49" fontId="1" fillId="0" borderId="0" xfId="0" applyFont="1">
      <alignment vertical="top"/>
    </xf>
    <xf numFmtId="4" fontId="5" fillId="0" borderId="0" xfId="0" applyNumberFormat="1" applyFont="1">
      <alignment vertical="top"/>
    </xf>
    <xf numFmtId="171" fontId="5" fillId="0" borderId="3" xfId="0" applyNumberFormat="1" applyFont="1" applyBorder="1">
      <alignment vertical="top"/>
    </xf>
    <xf numFmtId="49" fontId="27" fillId="10" borderId="10" xfId="0" applyNumberFormat="1" applyFont="1" applyFill="1" applyBorder="1">
      <alignment vertical="top"/>
    </xf>
    <xf numFmtId="49" fontId="0" fillId="10" borderId="6" xfId="0" applyNumberFormat="1" applyFont="1" applyFill="1" applyBorder="1">
      <alignment vertical="top"/>
    </xf>
    <xf numFmtId="49" fontId="27" fillId="10" borderId="11" xfId="0" applyNumberFormat="1" applyFont="1" applyFill="1" applyBorder="1">
      <alignment vertical="top"/>
    </xf>
    <xf numFmtId="49" fontId="16" fillId="0" borderId="0" xfId="0" applyFont="1">
      <alignment vertical="top"/>
    </xf>
    <xf numFmtId="49" fontId="30" fillId="10" borderId="6" xfId="0" applyNumberFormat="1" applyFont="1" applyFill="1" applyBorder="1">
      <alignment vertical="top"/>
    </xf>
    <xf numFmtId="49" fontId="5" fillId="10" borderId="6" xfId="0" applyNumberFormat="1" applyFont="1" applyFill="1" applyBorder="1">
      <alignment vertical="top"/>
    </xf>
    <xf numFmtId="49" fontId="5" fillId="10" borderId="4" xfId="0" applyNumberFormat="1" applyFont="1" applyFill="1" applyBorder="1">
      <alignment vertical="top"/>
    </xf>
    <xf numFmtId="49" fontId="5" fillId="0" borderId="12" xfId="0" applyFont="1" applyBorder="1">
      <alignment vertical="top"/>
    </xf>
    <xf numFmtId="49" fontId="31" fillId="0" borderId="0" xfId="0" applyFont="1">
      <alignment vertical="top"/>
    </xf>
    <xf numFmtId="49" fontId="0" fillId="8" borderId="0" xfId="0" applyFill="1">
      <alignment vertical="top"/>
    </xf>
    <xf numFmtId="49" fontId="32" fillId="11" borderId="0" xfId="0" applyFont="1" applyFill="1">
      <alignment vertical="top"/>
    </xf>
    <xf numFmtId="49" fontId="32" fillId="0" borderId="0" xfId="0" applyFont="1">
      <alignment vertical="top"/>
    </xf>
    <xf numFmtId="49" fontId="30" fillId="0" borderId="2" xfId="0" applyFont="1" applyBorder="1">
      <alignment vertical="top"/>
    </xf>
    <xf numFmtId="49" fontId="5" fillId="0" borderId="2" xfId="0" applyFont="1" applyBorder="1">
      <alignment vertical="top"/>
    </xf>
    <xf numFmtId="49" fontId="0" fillId="12" borderId="3" xfId="0" applyFont="1" applyFill="1" applyBorder="1">
      <alignment vertical="top"/>
    </xf>
    <xf numFmtId="49" fontId="24" fillId="10" borderId="4" xfId="0" applyNumberFormat="1" applyFont="1" applyFill="1" applyBorder="1">
      <alignment vertical="top"/>
    </xf>
    <xf numFmtId="49" fontId="5" fillId="13" borderId="3" xfId="0" applyNumberFormat="1" applyFont="1" applyFill="1" applyBorder="1">
      <alignment vertical="top"/>
    </xf>
    <xf numFmtId="49" fontId="0" fillId="0" borderId="8" xfId="0" applyBorder="1">
      <alignment vertical="top"/>
    </xf>
    <xf numFmtId="49" fontId="33" fillId="0" borderId="0" xfId="0" applyFont="1">
      <alignment vertical="top"/>
    </xf>
    <xf numFmtId="49" fontId="34" fillId="12" borderId="3" xfId="0" applyNumberFormat="1" applyFont="1" applyFill="1" applyBorder="1">
      <alignment vertical="top"/>
    </xf>
    <xf numFmtId="49" fontId="0" fillId="7" borderId="3" xfId="0" applyFont="1" applyFill="1" applyBorder="1">
      <alignment vertical="top"/>
    </xf>
    <xf numFmtId="49" fontId="5" fillId="12" borderId="3" xfId="0" applyNumberFormat="1" applyFont="1" applyFill="1" applyBorder="1">
      <alignment vertical="top"/>
    </xf>
    <xf numFmtId="49" fontId="5" fillId="7" borderId="3" xfId="0" applyNumberFormat="1" applyFont="1" applyFill="1" applyBorder="1">
      <alignment vertical="top"/>
    </xf>
    <xf numFmtId="49" fontId="16" fillId="0" borderId="6" xfId="0" applyNumberFormat="1" applyFont="1" applyBorder="1">
      <alignment vertical="top"/>
    </xf>
    <xf numFmtId="49" fontId="35" fillId="0" borderId="0" xfId="0" applyFont="1">
      <alignment vertical="top"/>
    </xf>
    <xf numFmtId="49" fontId="36" fillId="0" borderId="0" xfId="0" applyFont="1">
      <alignment vertical="top"/>
    </xf>
    <xf numFmtId="49" fontId="37" fillId="0" borderId="0" xfId="0" applyFont="1">
      <alignment vertical="top"/>
    </xf>
    <xf numFmtId="49" fontId="38" fillId="0" borderId="0" xfId="0" applyFont="1">
      <alignment vertical="top"/>
    </xf>
    <xf numFmtId="49" fontId="39" fillId="0" borderId="0" xfId="0" applyFont="1">
      <alignment vertical="top"/>
    </xf>
    <xf numFmtId="49" fontId="40" fillId="0" borderId="0" xfId="0" applyFont="1">
      <alignment vertical="top"/>
    </xf>
    <xf numFmtId="49" fontId="41" fillId="8" borderId="0" xfId="0" applyFont="1" applyFill="1">
      <alignment vertical="top"/>
    </xf>
    <xf numFmtId="49" fontId="42" fillId="8" borderId="0" xfId="0" applyFont="1" applyFill="1">
      <alignment vertical="top"/>
    </xf>
    <xf numFmtId="49" fontId="41" fillId="0" borderId="0" xfId="0" applyFont="1">
      <alignment vertical="top"/>
    </xf>
    <xf numFmtId="49" fontId="43" fillId="8" borderId="0" xfId="0" applyFont="1" applyFill="1">
      <alignment vertical="top"/>
    </xf>
    <xf numFmtId="49" fontId="39" fillId="8" borderId="0" xfId="0" applyFont="1" applyFill="1">
      <alignment vertical="top"/>
    </xf>
    <xf numFmtId="49" fontId="44" fillId="0" borderId="0" xfId="0" applyFont="1">
      <alignment vertical="top"/>
    </xf>
    <xf numFmtId="49" fontId="28" fillId="0" borderId="13" xfId="0" applyFont="1" applyBorder="1">
      <alignment vertical="top"/>
    </xf>
    <xf numFmtId="49" fontId="5" fillId="0" borderId="8" xfId="0" applyNumberFormat="1" applyFont="1" applyBorder="1">
      <alignment vertical="top"/>
    </xf>
    <xf numFmtId="49" fontId="30" fillId="10" borderId="5" xfId="0" applyNumberFormat="1" applyFont="1" applyFill="1" applyBorder="1">
      <alignment vertical="top"/>
    </xf>
    <xf numFmtId="49" fontId="45" fillId="0" borderId="0" xfId="0" applyFont="1">
      <alignment vertical="top"/>
    </xf>
    <xf numFmtId="49" fontId="46" fillId="0" borderId="0" xfId="0" applyFont="1">
      <alignment vertical="top"/>
    </xf>
    <xf numFmtId="49" fontId="47" fillId="0" borderId="0" xfId="0" applyFont="1">
      <alignment vertical="top"/>
    </xf>
    <xf numFmtId="49" fontId="48" fillId="0" borderId="0" xfId="0" applyFont="1">
      <alignment vertical="top"/>
    </xf>
    <xf numFmtId="49" fontId="49" fillId="0" borderId="0" xfId="0" applyFont="1">
      <alignment vertical="top"/>
    </xf>
    <xf numFmtId="49" fontId="50" fillId="8" borderId="0" xfId="0" applyFont="1" applyFill="1">
      <alignment vertical="top"/>
    </xf>
    <xf numFmtId="49" fontId="20" fillId="10" borderId="5" xfId="0" applyNumberFormat="1" applyFont="1" applyFill="1" applyBorder="1">
      <alignment vertical="top"/>
    </xf>
    <xf numFmtId="49" fontId="0" fillId="8" borderId="3" xfId="0" applyFont="1" applyFill="1" applyBorder="1">
      <alignment vertical="top"/>
    </xf>
    <xf numFmtId="49" fontId="5" fillId="0" borderId="8" xfId="0" applyFont="1" applyBorder="1">
      <alignment vertical="top"/>
    </xf>
    <xf numFmtId="49" fontId="5" fillId="0" borderId="14" xfId="0" applyFont="1" applyBorder="1">
      <alignment vertical="top"/>
    </xf>
    <xf numFmtId="49" fontId="0" fillId="10" borderId="4" xfId="0" applyNumberFormat="1" applyFont="1" applyFill="1" applyBorder="1">
      <alignment vertical="top"/>
    </xf>
    <xf numFmtId="49" fontId="0" fillId="0" borderId="5" xfId="0" applyFont="1" applyBorder="1">
      <alignment vertical="top"/>
    </xf>
    <xf numFmtId="49" fontId="0" fillId="8" borderId="5" xfId="0" applyFont="1" applyFill="1" applyBorder="1">
      <alignment vertical="top"/>
    </xf>
    <xf numFmtId="49" fontId="20" fillId="10" borderId="5" xfId="0" applyFont="1" applyFill="1" applyBorder="1">
      <alignment vertical="top"/>
    </xf>
    <xf numFmtId="49" fontId="20" fillId="10" borderId="6" xfId="0" applyFont="1" applyFill="1" applyBorder="1">
      <alignment vertical="top"/>
    </xf>
    <xf numFmtId="49" fontId="20" fillId="10" borderId="4" xfId="0" applyFont="1" applyFill="1" applyBorder="1">
      <alignment vertical="top"/>
    </xf>
    <xf numFmtId="49" fontId="0" fillId="0" borderId="0" xfId="0" applyNumberFormat="1" applyFont="1">
      <alignment vertical="top"/>
    </xf>
    <xf numFmtId="49" fontId="30" fillId="8" borderId="0" xfId="0" applyFont="1" applyFill="1">
      <alignment vertical="top"/>
    </xf>
    <xf numFmtId="4" fontId="5" fillId="0" borderId="3" xfId="0" applyNumberFormat="1" applyFont="1" applyBorder="1">
      <alignment vertical="top"/>
    </xf>
    <xf numFmtId="4" fontId="28" fillId="0" borderId="3" xfId="0" applyNumberFormat="1" applyFont="1" applyBorder="1">
      <alignment vertical="top"/>
    </xf>
    <xf numFmtId="49" fontId="51" fillId="0" borderId="5" xfId="0" applyNumberFormat="1" applyFont="1" applyBorder="1">
      <alignment vertical="top"/>
    </xf>
    <xf numFmtId="49" fontId="48" fillId="0" borderId="3" xfId="0" applyFont="1" applyBorder="1">
      <alignment vertical="top"/>
    </xf>
    <xf numFmtId="49" fontId="48" fillId="0" borderId="3" xfId="0" applyNumberFormat="1" applyFont="1" applyBorder="1">
      <alignment vertical="top"/>
    </xf>
    <xf numFmtId="49" fontId="52" fillId="0" borderId="0" xfId="0" applyFont="1">
      <alignment vertical="top"/>
    </xf>
    <xf numFmtId="49" fontId="5" fillId="12" borderId="3" xfId="0" applyFont="1" applyFill="1" applyBorder="1">
      <alignment vertical="top"/>
    </xf>
    <xf numFmtId="49" fontId="53" fillId="0" borderId="0" xfId="0" applyFont="1">
      <alignment vertical="top"/>
    </xf>
    <xf numFmtId="49" fontId="22" fillId="8" borderId="0" xfId="0" applyFont="1" applyFill="1">
      <alignment vertical="top"/>
    </xf>
    <xf numFmtId="49" fontId="5" fillId="0" borderId="15" xfId="0" applyFont="1" applyBorder="1">
      <alignment vertical="top"/>
    </xf>
    <xf numFmtId="49" fontId="28" fillId="0" borderId="15" xfId="0" applyFont="1" applyBorder="1">
      <alignment vertical="top"/>
    </xf>
    <xf numFmtId="49" fontId="0" fillId="0" borderId="15" xfId="0" applyBorder="1">
      <alignment vertical="top"/>
    </xf>
    <xf numFmtId="49" fontId="0" fillId="0" borderId="16" xfId="0" applyNumberFormat="1" applyFont="1" applyBorder="1">
      <alignment vertical="top"/>
    </xf>
    <xf numFmtId="168" fontId="5" fillId="0" borderId="3" xfId="0" applyNumberFormat="1" applyFont="1" applyBorder="1">
      <alignment vertical="top"/>
    </xf>
    <xf numFmtId="49" fontId="34" fillId="12" borderId="5" xfId="0" applyNumberFormat="1" applyFont="1" applyFill="1" applyBorder="1">
      <alignment vertical="top"/>
    </xf>
    <xf numFmtId="49" fontId="30" fillId="0" borderId="0" xfId="0" applyFont="1">
      <alignment vertical="top"/>
    </xf>
    <xf numFmtId="49" fontId="5" fillId="8" borderId="17" xfId="0" applyFont="1" applyFill="1" applyBorder="1">
      <alignment vertical="top"/>
    </xf>
    <xf numFmtId="49" fontId="0" fillId="8" borderId="17" xfId="0" applyFont="1" applyFill="1" applyBorder="1">
      <alignment vertical="top"/>
    </xf>
    <xf numFmtId="49" fontId="5" fillId="0" borderId="10" xfId="0" applyFont="1" applyBorder="1">
      <alignment vertical="top"/>
    </xf>
    <xf numFmtId="49" fontId="0" fillId="8" borderId="5" xfId="0" applyNumberFormat="1" applyFont="1" applyFill="1" applyBorder="1">
      <alignment vertical="top"/>
    </xf>
    <xf numFmtId="49" fontId="20" fillId="10" borderId="18" xfId="0" applyNumberFormat="1" applyFont="1" applyFill="1" applyBorder="1">
      <alignment vertical="top"/>
    </xf>
    <xf numFmtId="49" fontId="34" fillId="9" borderId="3" xfId="0" applyNumberFormat="1" applyFont="1" applyFill="1" applyBorder="1">
      <alignment vertical="top"/>
    </xf>
    <xf numFmtId="49" fontId="54" fillId="10" borderId="4" xfId="0" applyNumberFormat="1" applyFont="1" applyFill="1" applyBorder="1">
      <alignment vertical="top"/>
    </xf>
    <xf numFmtId="49" fontId="54" fillId="10" borderId="6" xfId="0" applyNumberFormat="1" applyFont="1" applyFill="1" applyBorder="1">
      <alignment vertical="top"/>
    </xf>
    <xf numFmtId="49" fontId="0" fillId="14" borderId="3" xfId="0" applyFont="1" applyFill="1" applyBorder="1">
      <alignment vertical="top"/>
    </xf>
    <xf numFmtId="49" fontId="55" fillId="0" borderId="0" xfId="0" applyFont="1">
      <alignment vertical="top"/>
    </xf>
    <xf numFmtId="49" fontId="0" fillId="9" borderId="3" xfId="0" applyFont="1" applyFill="1" applyBorder="1">
      <alignment vertical="top"/>
    </xf>
    <xf numFmtId="3" fontId="0" fillId="12" borderId="3" xfId="0" applyNumberFormat="1" applyFont="1" applyFill="1" applyBorder="1">
      <alignment vertical="top"/>
    </xf>
    <xf numFmtId="49" fontId="0" fillId="8" borderId="8" xfId="0" applyFont="1" applyFill="1" applyBorder="1">
      <alignment vertical="top"/>
    </xf>
    <xf numFmtId="49" fontId="0" fillId="12" borderId="3" xfId="0" applyNumberFormat="1" applyFont="1" applyFill="1" applyBorder="1">
      <alignment vertical="top"/>
    </xf>
    <xf numFmtId="49" fontId="0" fillId="8" borderId="0" xfId="0" applyFont="1" applyFill="1">
      <alignment vertical="top"/>
    </xf>
    <xf numFmtId="49" fontId="56" fillId="8" borderId="0" xfId="0" applyFont="1" applyFill="1">
      <alignment vertical="top"/>
    </xf>
    <xf numFmtId="49" fontId="57" fillId="8" borderId="0" xfId="0" applyFont="1" applyFill="1">
      <alignment vertical="top"/>
    </xf>
    <xf numFmtId="49" fontId="58" fillId="8" borderId="0" xfId="0" applyFont="1" applyFill="1">
      <alignment vertical="top"/>
    </xf>
    <xf numFmtId="49" fontId="16" fillId="8" borderId="0" xfId="0" applyFont="1" applyFill="1">
      <alignment vertical="top"/>
    </xf>
    <xf numFmtId="49" fontId="54" fillId="10" borderId="6" xfId="0" applyFont="1" applyFill="1" applyBorder="1">
      <alignment vertical="top"/>
    </xf>
    <xf numFmtId="49" fontId="54" fillId="10" borderId="4" xfId="0" applyFont="1" applyFill="1" applyBorder="1">
      <alignment vertical="top"/>
    </xf>
    <xf numFmtId="49" fontId="59" fillId="8" borderId="0" xfId="0" applyFont="1" applyFill="1">
      <alignment vertical="top"/>
    </xf>
    <xf numFmtId="49" fontId="5" fillId="8" borderId="3" xfId="0" applyNumberFormat="1" applyFont="1" applyFill="1" applyBorder="1">
      <alignment vertical="top"/>
    </xf>
    <xf numFmtId="49" fontId="46" fillId="8" borderId="0" xfId="0" applyFont="1" applyFill="1">
      <alignment vertical="top"/>
    </xf>
    <xf numFmtId="49" fontId="32" fillId="8" borderId="0" xfId="0" applyFont="1" applyFill="1">
      <alignment vertical="top"/>
    </xf>
    <xf numFmtId="4" fontId="41" fillId="0" borderId="0" xfId="0" applyNumberFormat="1" applyFont="1">
      <alignment vertical="top"/>
    </xf>
    <xf numFmtId="49" fontId="60" fillId="8" borderId="0" xfId="0" applyFont="1" applyFill="1">
      <alignment vertical="top"/>
    </xf>
    <xf numFmtId="49" fontId="5" fillId="8" borderId="15" xfId="0" applyFont="1" applyFill="1" applyBorder="1">
      <alignment vertical="top"/>
    </xf>
    <xf numFmtId="49" fontId="16" fillId="8" borderId="6" xfId="0" applyNumberFormat="1" applyFont="1" applyFill="1" applyBorder="1">
      <alignment vertical="top"/>
    </xf>
    <xf numFmtId="49" fontId="60" fillId="0" borderId="0" xfId="0" applyFont="1">
      <alignment vertical="top"/>
    </xf>
    <xf numFmtId="49" fontId="53" fillId="0" borderId="3" xfId="0" applyNumberFormat="1" applyFont="1" applyBorder="1">
      <alignment vertical="top"/>
    </xf>
    <xf numFmtId="49" fontId="61" fillId="8" borderId="0" xfId="0" applyFont="1" applyFill="1">
      <alignment vertical="top"/>
    </xf>
    <xf numFmtId="49" fontId="53" fillId="0" borderId="8" xfId="0" applyNumberFormat="1" applyFont="1" applyBorder="1">
      <alignment vertical="top"/>
    </xf>
    <xf numFmtId="49" fontId="28" fillId="8" borderId="0" xfId="0" applyFont="1" applyFill="1">
      <alignment vertical="top"/>
    </xf>
    <xf numFmtId="49" fontId="28" fillId="0" borderId="0" xfId="0" applyNumberFormat="1" applyFont="1">
      <alignment vertical="top"/>
    </xf>
    <xf numFmtId="14" fontId="5" fillId="10" borderId="6" xfId="0" applyNumberFormat="1" applyFont="1" applyFill="1" applyBorder="1">
      <alignment vertical="top"/>
    </xf>
    <xf numFmtId="14" fontId="62" fillId="10" borderId="6" xfId="0" applyNumberFormat="1" applyFont="1" applyFill="1" applyBorder="1">
      <alignment vertical="top"/>
    </xf>
    <xf numFmtId="49" fontId="34" fillId="0" borderId="3" xfId="0" applyNumberFormat="1" applyFont="1" applyBorder="1">
      <alignment vertical="top"/>
    </xf>
    <xf numFmtId="14" fontId="5" fillId="13" borderId="3" xfId="0" applyNumberFormat="1" applyFont="1" applyFill="1" applyBorder="1">
      <alignment vertical="top"/>
    </xf>
    <xf numFmtId="49" fontId="63" fillId="0" borderId="0" xfId="0" applyFont="1">
      <alignment vertical="top"/>
    </xf>
    <xf numFmtId="49" fontId="64" fillId="0" borderId="0" xfId="0" applyFont="1">
      <alignment vertical="top"/>
    </xf>
    <xf numFmtId="49" fontId="27" fillId="0" borderId="0" xfId="0" applyNumberFormat="1" applyFont="1">
      <alignment vertical="top"/>
    </xf>
    <xf numFmtId="4" fontId="5" fillId="9" borderId="3" xfId="0" applyNumberFormat="1" applyFont="1" applyFill="1" applyBorder="1">
      <alignment vertical="top"/>
    </xf>
    <xf numFmtId="49" fontId="5" fillId="0" borderId="4" xfId="0" applyFont="1" applyBorder="1">
      <alignment vertical="top"/>
    </xf>
    <xf numFmtId="49" fontId="65" fillId="0" borderId="0" xfId="0" applyFont="1">
      <alignment vertical="top"/>
    </xf>
    <xf numFmtId="169" fontId="5" fillId="9" borderId="3" xfId="0" applyNumberFormat="1" applyFont="1" applyFill="1" applyBorder="1">
      <alignment vertical="top"/>
    </xf>
    <xf numFmtId="49" fontId="5" fillId="0" borderId="19" xfId="0" applyFont="1" applyBorder="1">
      <alignment vertical="top"/>
    </xf>
    <xf numFmtId="49" fontId="28" fillId="0" borderId="19" xfId="0" applyFont="1" applyBorder="1">
      <alignment vertical="top"/>
    </xf>
    <xf numFmtId="49" fontId="28" fillId="0" borderId="3" xfId="0" applyFont="1" applyBorder="1">
      <alignment vertical="top"/>
    </xf>
    <xf numFmtId="49" fontId="5" fillId="9" borderId="3" xfId="0" applyFont="1" applyFill="1" applyBorder="1">
      <alignment vertical="top"/>
    </xf>
    <xf numFmtId="4" fontId="5" fillId="12" borderId="3" xfId="0" applyNumberFormat="1" applyFont="1" applyFill="1" applyBorder="1">
      <alignment vertical="top"/>
    </xf>
    <xf numFmtId="4" fontId="5" fillId="7" borderId="3" xfId="0" applyNumberFormat="1" applyFont="1" applyFill="1" applyBorder="1">
      <alignment vertical="top"/>
    </xf>
    <xf numFmtId="49" fontId="53" fillId="0" borderId="0" xfId="0" applyNumberFormat="1" applyFont="1">
      <alignment vertical="top"/>
    </xf>
    <xf numFmtId="49" fontId="53" fillId="0" borderId="19" xfId="0" applyNumberFormat="1" applyFont="1" applyBorder="1">
      <alignment vertical="top"/>
    </xf>
    <xf numFmtId="49" fontId="53" fillId="0" borderId="3" xfId="0" applyFont="1" applyBorder="1">
      <alignment vertical="top"/>
    </xf>
    <xf numFmtId="49" fontId="66" fillId="0" borderId="0" xfId="0" applyFont="1">
      <alignment vertical="top"/>
    </xf>
    <xf numFmtId="49" fontId="53" fillId="0" borderId="19" xfId="0" applyFont="1" applyBorder="1">
      <alignment vertical="top"/>
    </xf>
    <xf numFmtId="4" fontId="53" fillId="0" borderId="3" xfId="0" applyNumberFormat="1" applyFont="1" applyBorder="1">
      <alignment vertical="top"/>
    </xf>
    <xf numFmtId="49" fontId="5" fillId="10" borderId="5" xfId="0" applyNumberFormat="1" applyFont="1" applyFill="1" applyBorder="1">
      <alignment vertical="top"/>
    </xf>
    <xf numFmtId="49" fontId="5" fillId="10" borderId="6" xfId="0" applyFont="1" applyFill="1" applyBorder="1">
      <alignment vertical="top"/>
    </xf>
    <xf numFmtId="49" fontId="27" fillId="10" borderId="4" xfId="0" applyFont="1" applyFill="1" applyBorder="1">
      <alignment vertical="top"/>
    </xf>
    <xf numFmtId="14" fontId="5" fillId="0" borderId="0" xfId="0" applyNumberFormat="1" applyFont="1">
      <alignment vertical="top"/>
    </xf>
    <xf numFmtId="49" fontId="30" fillId="0" borderId="0" xfId="0" applyNumberFormat="1" applyFont="1">
      <alignment vertical="top"/>
    </xf>
    <xf numFmtId="169" fontId="5" fillId="12" borderId="3" xfId="0" applyNumberFormat="1" applyFont="1" applyFill="1" applyBorder="1">
      <alignment vertical="top"/>
    </xf>
    <xf numFmtId="4" fontId="5" fillId="7" borderId="8" xfId="0" applyNumberFormat="1" applyFont="1" applyFill="1" applyBorder="1">
      <alignment vertical="top"/>
    </xf>
    <xf numFmtId="49" fontId="67" fillId="0" borderId="0" xfId="0" applyFont="1">
      <alignment vertical="top"/>
    </xf>
    <xf numFmtId="49" fontId="16" fillId="0" borderId="0" xfId="0" applyNumberFormat="1" applyFont="1">
      <alignment vertical="top"/>
    </xf>
    <xf numFmtId="49" fontId="16" fillId="0" borderId="3" xfId="0" applyNumberFormat="1" applyFont="1" applyBorder="1">
      <alignment vertical="top"/>
    </xf>
    <xf numFmtId="49" fontId="0" fillId="10" borderId="4" xfId="0" applyFont="1" applyFill="1" applyBorder="1">
      <alignment vertical="top"/>
    </xf>
    <xf numFmtId="49" fontId="56" fillId="0" borderId="3" xfId="0" applyNumberFormat="1" applyFont="1" applyBorder="1">
      <alignment vertical="top"/>
    </xf>
    <xf numFmtId="49" fontId="30" fillId="10" borderId="4" xfId="0" applyNumberFormat="1" applyFont="1" applyFill="1" applyBorder="1">
      <alignment vertical="top"/>
    </xf>
    <xf numFmtId="49" fontId="56" fillId="15" borderId="0" xfId="0" applyFont="1" applyFill="1">
      <alignment vertical="top"/>
    </xf>
    <xf numFmtId="9" fontId="30" fillId="0" borderId="0" xfId="0" applyNumberFormat="1" applyFont="1">
      <alignment vertical="top"/>
    </xf>
    <xf numFmtId="49" fontId="44" fillId="0" borderId="0" xfId="0" applyNumberFormat="1" applyFont="1">
      <alignment vertical="top"/>
    </xf>
    <xf numFmtId="49" fontId="68" fillId="0" borderId="0" xfId="0" applyFont="1">
      <alignment vertical="top"/>
    </xf>
    <xf numFmtId="49" fontId="0" fillId="0" borderId="4" xfId="0" applyNumberFormat="1" applyFont="1" applyBorder="1">
      <alignment vertical="top"/>
    </xf>
    <xf numFmtId="4" fontId="0" fillId="7" borderId="3" xfId="0" applyNumberFormat="1" applyFont="1" applyFill="1" applyBorder="1">
      <alignment vertical="top"/>
    </xf>
    <xf numFmtId="49" fontId="0" fillId="0" borderId="20" xfId="0" applyNumberFormat="1" applyFont="1" applyBorder="1">
      <alignment vertical="top"/>
    </xf>
    <xf numFmtId="4" fontId="0" fillId="12" borderId="3" xfId="0" applyNumberFormat="1" applyFont="1" applyFill="1" applyBorder="1">
      <alignment vertical="top"/>
    </xf>
    <xf numFmtId="4" fontId="27" fillId="0" borderId="3" xfId="0" applyNumberFormat="1" applyFont="1" applyBorder="1">
      <alignment vertical="top"/>
    </xf>
    <xf numFmtId="49" fontId="0" fillId="10" borderId="21" xfId="0" applyNumberFormat="1" applyFont="1" applyFill="1" applyBorder="1">
      <alignment vertical="top"/>
    </xf>
    <xf numFmtId="49" fontId="20" fillId="0" borderId="3" xfId="0" applyFont="1" applyBorder="1">
      <alignment vertical="top"/>
    </xf>
    <xf numFmtId="49" fontId="34" fillId="9" borderId="5" xfId="0" applyNumberFormat="1" applyFont="1" applyFill="1" applyBorder="1">
      <alignment vertical="top"/>
    </xf>
    <xf numFmtId="49" fontId="5" fillId="0" borderId="22" xfId="0" applyNumberFormat="1" applyFont="1" applyBorder="1">
      <alignment vertical="top"/>
    </xf>
    <xf numFmtId="49" fontId="5" fillId="0" borderId="22" xfId="0" applyFont="1" applyBorder="1">
      <alignment vertical="top"/>
    </xf>
    <xf numFmtId="4" fontId="5" fillId="12" borderId="22" xfId="0" applyNumberFormat="1" applyFont="1" applyFill="1" applyBorder="1">
      <alignment vertical="top"/>
    </xf>
    <xf numFmtId="49" fontId="5" fillId="0" borderId="23" xfId="0" applyNumberFormat="1" applyFont="1" applyBorder="1">
      <alignment vertical="top"/>
    </xf>
    <xf numFmtId="3" fontId="5" fillId="0" borderId="5" xfId="0" applyNumberFormat="1" applyFont="1" applyBorder="1">
      <alignment vertical="top"/>
    </xf>
    <xf numFmtId="4" fontId="5" fillId="9" borderId="5" xfId="0" applyNumberFormat="1" applyFont="1" applyFill="1" applyBorder="1">
      <alignment vertical="top"/>
    </xf>
    <xf numFmtId="4" fontId="5" fillId="0" borderId="5" xfId="0" applyNumberFormat="1" applyFont="1" applyBorder="1">
      <alignment vertical="top"/>
    </xf>
    <xf numFmtId="4" fontId="5" fillId="0" borderId="21" xfId="0" applyNumberFormat="1" applyFont="1" applyBorder="1">
      <alignment vertical="top"/>
    </xf>
    <xf numFmtId="49" fontId="5" fillId="0" borderId="5" xfId="0" applyFont="1" applyBorder="1">
      <alignment vertical="top"/>
    </xf>
    <xf numFmtId="3" fontId="5" fillId="12" borderId="5" xfId="0" applyNumberFormat="1" applyFont="1" applyFill="1" applyBorder="1">
      <alignment vertical="top"/>
    </xf>
    <xf numFmtId="49" fontId="5" fillId="9" borderId="5" xfId="0" applyNumberFormat="1" applyFont="1" applyFill="1" applyBorder="1">
      <alignment vertical="top"/>
    </xf>
    <xf numFmtId="4" fontId="5" fillId="7" borderId="5" xfId="0" applyNumberFormat="1" applyFont="1" applyFill="1" applyBorder="1">
      <alignment vertical="top"/>
    </xf>
    <xf numFmtId="49" fontId="0" fillId="0" borderId="5" xfId="0" applyNumberFormat="1" applyFont="1" applyBorder="1">
      <alignment vertical="top"/>
    </xf>
    <xf numFmtId="49" fontId="5" fillId="10" borderId="10" xfId="0" applyFont="1" applyFill="1" applyBorder="1">
      <alignment vertical="top"/>
    </xf>
    <xf numFmtId="49" fontId="5" fillId="0" borderId="6" xfId="0" applyFont="1" applyBorder="1">
      <alignment vertical="top"/>
    </xf>
    <xf numFmtId="49" fontId="5" fillId="10" borderId="18" xfId="0" applyFont="1" applyFill="1" applyBorder="1">
      <alignment vertical="top"/>
    </xf>
    <xf numFmtId="49" fontId="5" fillId="12" borderId="5" xfId="0" applyNumberFormat="1" applyFont="1" applyFill="1" applyBorder="1">
      <alignment vertical="top"/>
    </xf>
    <xf numFmtId="49" fontId="0" fillId="9" borderId="3" xfId="0" applyNumberFormat="1" applyFont="1" applyFill="1" applyBorder="1">
      <alignment vertical="top"/>
    </xf>
    <xf numFmtId="49" fontId="69" fillId="0" borderId="0" xfId="0" applyFont="1">
      <alignment vertical="top"/>
    </xf>
    <xf numFmtId="49" fontId="69" fillId="8" borderId="0" xfId="0" applyFont="1" applyFill="1">
      <alignment vertical="top"/>
    </xf>
    <xf numFmtId="49" fontId="34" fillId="10" borderId="4" xfId="0" applyNumberFormat="1" applyFont="1" applyFill="1" applyBorder="1">
      <alignment vertical="top"/>
    </xf>
    <xf numFmtId="49" fontId="70" fillId="0" borderId="0" xfId="0" applyFont="1">
      <alignment vertical="top"/>
    </xf>
    <xf numFmtId="49" fontId="71" fillId="0" borderId="0" xfId="0" applyFont="1">
      <alignment vertical="top"/>
    </xf>
    <xf numFmtId="49" fontId="52" fillId="0" borderId="13" xfId="0" applyFont="1" applyBorder="1">
      <alignment vertical="top"/>
    </xf>
    <xf numFmtId="4" fontId="5" fillId="0" borderId="22" xfId="0" applyNumberFormat="1" applyFont="1" applyBorder="1">
      <alignment vertical="top"/>
    </xf>
    <xf numFmtId="49" fontId="5" fillId="0" borderId="24" xfId="0" applyFont="1" applyBorder="1">
      <alignment vertical="top"/>
    </xf>
    <xf numFmtId="4" fontId="5" fillId="12" borderId="24" xfId="0" applyNumberFormat="1" applyFont="1" applyFill="1" applyBorder="1">
      <alignment vertical="top"/>
    </xf>
    <xf numFmtId="4" fontId="5" fillId="0" borderId="24" xfId="0" applyNumberFormat="1" applyFont="1" applyBorder="1">
      <alignment vertical="top"/>
    </xf>
    <xf numFmtId="49" fontId="5" fillId="0" borderId="25" xfId="0" applyNumberFormat="1" applyFont="1" applyBorder="1">
      <alignment vertical="top"/>
    </xf>
    <xf numFmtId="4" fontId="5" fillId="12" borderId="5" xfId="0" applyNumberFormat="1" applyFont="1" applyFill="1" applyBorder="1">
      <alignment vertical="top"/>
    </xf>
    <xf numFmtId="4" fontId="5" fillId="12" borderId="25" xfId="0" applyNumberFormat="1" applyFont="1" applyFill="1" applyBorder="1">
      <alignment vertical="top"/>
    </xf>
    <xf numFmtId="4" fontId="5" fillId="0" borderId="26" xfId="0" applyNumberFormat="1" applyFont="1" applyBorder="1">
      <alignment vertical="top"/>
    </xf>
    <xf numFmtId="4" fontId="5" fillId="12" borderId="26" xfId="0" applyNumberFormat="1" applyFont="1" applyFill="1" applyBorder="1">
      <alignment vertical="top"/>
    </xf>
    <xf numFmtId="4" fontId="5" fillId="12" borderId="14" xfId="0" applyNumberFormat="1" applyFont="1" applyFill="1" applyBorder="1">
      <alignment vertical="top"/>
    </xf>
    <xf numFmtId="49" fontId="5" fillId="0" borderId="24" xfId="0" applyNumberFormat="1" applyFont="1" applyBorder="1">
      <alignment vertical="top"/>
    </xf>
    <xf numFmtId="49" fontId="5" fillId="0" borderId="26" xfId="0" applyFont="1" applyBorder="1">
      <alignment vertical="top"/>
    </xf>
    <xf numFmtId="49" fontId="5" fillId="0" borderId="11" xfId="0" applyFont="1" applyBorder="1">
      <alignment vertical="top"/>
    </xf>
    <xf numFmtId="169" fontId="5" fillId="7" borderId="3" xfId="0" applyNumberFormat="1" applyFont="1" applyFill="1" applyBorder="1">
      <alignment vertical="top"/>
    </xf>
    <xf numFmtId="49" fontId="54" fillId="8" borderId="0" xfId="0" applyFont="1" applyFill="1">
      <alignment vertical="top"/>
    </xf>
    <xf numFmtId="49" fontId="0" fillId="0" borderId="3" xfId="0" applyBorder="1">
      <alignment vertical="top"/>
    </xf>
    <xf numFmtId="49" fontId="0" fillId="5" borderId="8" xfId="0" applyFill="1" applyBorder="1">
      <alignment vertical="top"/>
    </xf>
    <xf numFmtId="49" fontId="0" fillId="0" borderId="5" xfId="0" applyBorder="1">
      <alignment vertical="top"/>
    </xf>
    <xf numFmtId="49" fontId="0" fillId="0" borderId="6" xfId="0" applyNumberFormat="1" applyFont="1" applyBorder="1">
      <alignment vertical="top"/>
    </xf>
    <xf numFmtId="49" fontId="34" fillId="0" borderId="0" xfId="0" applyFont="1">
      <alignment vertical="top"/>
    </xf>
    <xf numFmtId="14" fontId="5" fillId="8" borderId="0" xfId="0" applyNumberFormat="1" applyFont="1" applyFill="1">
      <alignment vertical="top"/>
    </xf>
    <xf numFmtId="171" fontId="5" fillId="0" borderId="5" xfId="0" applyNumberFormat="1" applyFont="1" applyBorder="1">
      <alignment vertical="top"/>
    </xf>
    <xf numFmtId="49" fontId="72" fillId="0" borderId="0" xfId="0" applyFont="1">
      <alignment vertical="top"/>
    </xf>
    <xf numFmtId="14" fontId="72" fillId="8" borderId="0" xfId="0" applyNumberFormat="1" applyFont="1" applyFill="1">
      <alignment vertical="top"/>
    </xf>
    <xf numFmtId="14" fontId="73" fillId="0" borderId="0" xfId="0" applyNumberFormat="1" applyFont="1">
      <alignment vertical="top"/>
    </xf>
    <xf numFmtId="14" fontId="74" fillId="0" borderId="3" xfId="0" applyNumberFormat="1" applyFont="1" applyBorder="1">
      <alignment vertical="top"/>
    </xf>
    <xf numFmtId="49" fontId="5" fillId="10" borderId="10" xfId="0" applyNumberFormat="1" applyFont="1" applyFill="1" applyBorder="1">
      <alignment vertical="top"/>
    </xf>
    <xf numFmtId="49" fontId="5" fillId="7" borderId="14" xfId="0" applyNumberFormat="1" applyFont="1" applyFill="1" applyBorder="1">
      <alignment vertical="top"/>
    </xf>
    <xf numFmtId="49" fontId="27" fillId="0" borderId="3" xfId="0" applyNumberFormat="1" applyFont="1" applyBorder="1">
      <alignment vertical="top"/>
    </xf>
    <xf numFmtId="14" fontId="5" fillId="13" borderId="14" xfId="0" applyNumberFormat="1" applyFont="1" applyFill="1" applyBorder="1">
      <alignment vertical="top"/>
    </xf>
    <xf numFmtId="49" fontId="28" fillId="0" borderId="14" xfId="0" applyFont="1" applyBorder="1">
      <alignment vertical="top"/>
    </xf>
    <xf numFmtId="49" fontId="5" fillId="0" borderId="4" xfId="0" applyNumberFormat="1" applyFont="1" applyBorder="1">
      <alignment vertical="top"/>
    </xf>
    <xf numFmtId="49" fontId="5" fillId="0" borderId="5" xfId="0" applyNumberFormat="1" applyFont="1" applyBorder="1">
      <alignment vertical="top"/>
    </xf>
    <xf numFmtId="49" fontId="16" fillId="0" borderId="15" xfId="0" applyFont="1" applyBorder="1">
      <alignment vertical="top"/>
    </xf>
    <xf numFmtId="49" fontId="27" fillId="0" borderId="14" xfId="0" applyFont="1" applyBorder="1">
      <alignment vertical="top"/>
    </xf>
    <xf numFmtId="49" fontId="56" fillId="12" borderId="3" xfId="0" applyNumberFormat="1" applyFont="1" applyFill="1" applyBorder="1">
      <alignment vertical="top"/>
    </xf>
    <xf numFmtId="49" fontId="27" fillId="0" borderId="13" xfId="0" applyFont="1" applyBorder="1">
      <alignment vertical="top"/>
    </xf>
    <xf numFmtId="49" fontId="5" fillId="7" borderId="5" xfId="0" applyFont="1" applyFill="1" applyBorder="1">
      <alignment vertical="top"/>
    </xf>
    <xf numFmtId="3" fontId="5" fillId="9" borderId="5" xfId="0" applyNumberFormat="1" applyFont="1" applyFill="1" applyBorder="1">
      <alignment vertical="top"/>
    </xf>
    <xf numFmtId="49" fontId="0" fillId="0" borderId="11" xfId="0" applyFont="1" applyBorder="1">
      <alignment vertical="top"/>
    </xf>
    <xf numFmtId="49" fontId="0" fillId="0" borderId="20" xfId="0" applyFont="1" applyBorder="1">
      <alignment vertical="top"/>
    </xf>
    <xf numFmtId="49" fontId="0" fillId="0" borderId="8" xfId="0" applyFont="1" applyBorder="1">
      <alignment vertical="top"/>
    </xf>
    <xf numFmtId="49" fontId="0" fillId="0" borderId="14" xfId="0" applyFont="1" applyBorder="1">
      <alignment vertical="top"/>
    </xf>
    <xf numFmtId="49" fontId="62" fillId="0" borderId="8" xfId="0" applyFont="1" applyBorder="1">
      <alignment vertical="top"/>
    </xf>
    <xf numFmtId="49" fontId="75" fillId="0" borderId="0" xfId="0" applyFont="1">
      <alignment vertical="top"/>
    </xf>
    <xf numFmtId="49" fontId="76" fillId="0" borderId="0" xfId="0" applyNumberFormat="1" applyFont="1">
      <alignment vertical="top"/>
    </xf>
    <xf numFmtId="49" fontId="72" fillId="14" borderId="3" xfId="0" applyNumberFormat="1" applyFont="1" applyFill="1" applyBorder="1">
      <alignment vertical="top"/>
    </xf>
    <xf numFmtId="49" fontId="76" fillId="0" borderId="3" xfId="0" applyNumberFormat="1" applyFont="1" applyBorder="1">
      <alignment vertical="top"/>
    </xf>
    <xf numFmtId="49" fontId="76" fillId="0" borderId="3" xfId="0" applyFont="1" applyBorder="1">
      <alignment vertical="top"/>
    </xf>
    <xf numFmtId="49" fontId="76" fillId="14" borderId="3" xfId="0" applyFont="1" applyFill="1" applyBorder="1">
      <alignment vertical="top"/>
    </xf>
    <xf numFmtId="49" fontId="76" fillId="0" borderId="8" xfId="0" applyFont="1" applyBorder="1">
      <alignment vertical="top"/>
    </xf>
    <xf numFmtId="49" fontId="76" fillId="0" borderId="4" xfId="0" applyFont="1" applyBorder="1">
      <alignment vertical="top"/>
    </xf>
    <xf numFmtId="49" fontId="72" fillId="14" borderId="3" xfId="0" applyFont="1" applyFill="1" applyBorder="1">
      <alignment vertical="top"/>
    </xf>
    <xf numFmtId="49" fontId="76" fillId="0" borderId="0" xfId="0" applyFont="1">
      <alignment vertical="top"/>
    </xf>
    <xf numFmtId="3" fontId="0" fillId="0" borderId="4" xfId="0" applyNumberFormat="1" applyFont="1" applyBorder="1">
      <alignment vertical="top"/>
    </xf>
    <xf numFmtId="49" fontId="5" fillId="13" borderId="5" xfId="0" applyFont="1" applyFill="1" applyBorder="1">
      <alignment vertical="top"/>
    </xf>
    <xf numFmtId="49" fontId="16" fillId="8" borderId="3" xfId="0" applyNumberFormat="1" applyFont="1" applyFill="1" applyBorder="1">
      <alignment vertical="top"/>
    </xf>
    <xf numFmtId="49" fontId="5" fillId="12" borderId="3" xfId="0" quotePrefix="1" applyNumberFormat="1" applyFont="1" applyFill="1" applyBorder="1">
      <alignment vertical="top"/>
    </xf>
    <xf numFmtId="49" fontId="28" fillId="8" borderId="14" xfId="0" applyFont="1" applyFill="1" applyBorder="1">
      <alignment vertical="top"/>
    </xf>
    <xf numFmtId="49" fontId="17" fillId="8" borderId="15" xfId="0" applyFont="1" applyFill="1" applyBorder="1">
      <alignment vertical="top"/>
    </xf>
    <xf numFmtId="14" fontId="5" fillId="13" borderId="20" xfId="0" applyNumberFormat="1" applyFont="1" applyFill="1" applyBorder="1">
      <alignment vertical="top"/>
    </xf>
    <xf numFmtId="49" fontId="28" fillId="8" borderId="3" xfId="0" applyFont="1" applyFill="1" applyBorder="1">
      <alignment vertical="top"/>
    </xf>
    <xf numFmtId="49" fontId="77" fillId="0" borderId="0" xfId="0" applyFont="1">
      <alignment vertical="top"/>
    </xf>
    <xf numFmtId="49" fontId="0" fillId="12" borderId="5" xfId="0" applyFont="1" applyFill="1" applyBorder="1">
      <alignment vertical="top"/>
    </xf>
    <xf numFmtId="49" fontId="78" fillId="8" borderId="0" xfId="0" applyFont="1" applyFill="1">
      <alignment vertical="top"/>
    </xf>
    <xf numFmtId="49" fontId="76" fillId="0" borderId="4" xfId="0" applyNumberFormat="1" applyFont="1" applyBorder="1">
      <alignment vertical="top"/>
    </xf>
    <xf numFmtId="49" fontId="76" fillId="0" borderId="5" xfId="0" applyNumberFormat="1" applyFont="1" applyBorder="1">
      <alignment vertical="top"/>
    </xf>
    <xf numFmtId="49" fontId="76" fillId="0" borderId="27" xfId="0" applyFont="1" applyBorder="1">
      <alignment vertical="top"/>
    </xf>
    <xf numFmtId="49" fontId="76" fillId="0" borderId="21" xfId="0" applyNumberFormat="1" applyFont="1" applyBorder="1">
      <alignment vertical="top"/>
    </xf>
    <xf numFmtId="49" fontId="76" fillId="0" borderId="28" xfId="0" applyNumberFormat="1" applyFont="1" applyBorder="1">
      <alignment vertical="top"/>
    </xf>
    <xf numFmtId="49" fontId="76" fillId="0" borderId="8" xfId="0" applyNumberFormat="1" applyFont="1" applyBorder="1">
      <alignment vertical="top"/>
    </xf>
    <xf numFmtId="49" fontId="79" fillId="0" borderId="0" xfId="0" applyNumberFormat="1" applyFont="1">
      <alignment vertical="top"/>
    </xf>
    <xf numFmtId="49" fontId="5" fillId="0" borderId="29" xfId="0" applyFont="1" applyBorder="1">
      <alignment vertical="top"/>
    </xf>
    <xf numFmtId="49" fontId="0" fillId="8" borderId="28" xfId="0" applyFont="1" applyFill="1" applyBorder="1">
      <alignment vertical="top"/>
    </xf>
    <xf numFmtId="49" fontId="5" fillId="10" borderId="20" xfId="0" applyFont="1" applyFill="1" applyBorder="1">
      <alignment vertical="top"/>
    </xf>
    <xf numFmtId="49" fontId="5" fillId="8" borderId="30" xfId="0" applyFont="1" applyFill="1" applyBorder="1">
      <alignment vertical="top"/>
    </xf>
    <xf numFmtId="49" fontId="30" fillId="8" borderId="30" xfId="0" applyFont="1" applyFill="1" applyBorder="1">
      <alignment vertical="top"/>
    </xf>
    <xf numFmtId="49" fontId="54" fillId="0" borderId="30" xfId="0" applyFont="1" applyBorder="1">
      <alignment vertical="top"/>
    </xf>
    <xf numFmtId="49" fontId="80" fillId="0" borderId="0" xfId="0" applyNumberFormat="1" applyFont="1">
      <alignment vertical="top"/>
    </xf>
    <xf numFmtId="49" fontId="25" fillId="8" borderId="0" xfId="0" applyNumberFormat="1" applyFont="1" applyFill="1">
      <alignment vertical="top"/>
    </xf>
    <xf numFmtId="4" fontId="25" fillId="8" borderId="0" xfId="0" applyNumberFormat="1" applyFont="1" applyFill="1">
      <alignment vertical="top"/>
    </xf>
    <xf numFmtId="49" fontId="28" fillId="0" borderId="4" xfId="0" applyNumberFormat="1" applyFont="1" applyBorder="1">
      <alignment vertical="top"/>
    </xf>
    <xf numFmtId="49" fontId="72" fillId="0" borderId="3" xfId="0" applyNumberFormat="1" applyFont="1" applyBorder="1">
      <alignment vertical="top"/>
    </xf>
    <xf numFmtId="49" fontId="72" fillId="0" borderId="3" xfId="0" applyFont="1" applyBorder="1">
      <alignment vertical="top"/>
    </xf>
    <xf numFmtId="49" fontId="72" fillId="0" borderId="8" xfId="0" applyNumberFormat="1" applyFont="1" applyBorder="1">
      <alignment vertical="top"/>
    </xf>
    <xf numFmtId="49" fontId="72" fillId="0" borderId="14" xfId="0" applyNumberFormat="1" applyFont="1" applyBorder="1">
      <alignment vertical="top"/>
    </xf>
    <xf numFmtId="49" fontId="72" fillId="0" borderId="8" xfId="0" applyFont="1" applyBorder="1">
      <alignment vertical="top"/>
    </xf>
    <xf numFmtId="49" fontId="76" fillId="0" borderId="13" xfId="0" applyNumberFormat="1" applyFont="1" applyBorder="1">
      <alignment vertical="top"/>
    </xf>
    <xf numFmtId="49" fontId="76" fillId="0" borderId="27" xfId="0" applyNumberFormat="1" applyFont="1" applyBorder="1">
      <alignment vertical="top"/>
    </xf>
    <xf numFmtId="49" fontId="72" fillId="0" borderId="14" xfId="0" applyFont="1" applyBorder="1">
      <alignment vertical="top"/>
    </xf>
    <xf numFmtId="169" fontId="5" fillId="12" borderId="8" xfId="0" applyNumberFormat="1" applyFont="1" applyFill="1" applyBorder="1">
      <alignment vertical="top"/>
    </xf>
    <xf numFmtId="49" fontId="5" fillId="10" borderId="28" xfId="0" applyNumberFormat="1" applyFont="1" applyFill="1" applyBorder="1">
      <alignment vertical="top"/>
    </xf>
    <xf numFmtId="49" fontId="20" fillId="10" borderId="10" xfId="0" applyNumberFormat="1" applyFont="1" applyFill="1" applyBorder="1">
      <alignment vertical="top"/>
    </xf>
    <xf numFmtId="4" fontId="5" fillId="12" borderId="4" xfId="0" applyNumberFormat="1" applyFont="1" applyFill="1" applyBorder="1">
      <alignment vertical="top"/>
    </xf>
    <xf numFmtId="169" fontId="5" fillId="12" borderId="4" xfId="0" applyNumberFormat="1" applyFont="1" applyFill="1" applyBorder="1">
      <alignment vertical="top"/>
    </xf>
    <xf numFmtId="169" fontId="5" fillId="7" borderId="4" xfId="0" applyNumberFormat="1" applyFont="1" applyFill="1" applyBorder="1">
      <alignment vertical="top"/>
    </xf>
    <xf numFmtId="4" fontId="5" fillId="12" borderId="20" xfId="0" applyNumberFormat="1" applyFont="1" applyFill="1" applyBorder="1">
      <alignment vertical="top"/>
    </xf>
    <xf numFmtId="49" fontId="72" fillId="0" borderId="0" xfId="0" applyNumberFormat="1" applyFont="1">
      <alignment vertical="top"/>
    </xf>
    <xf numFmtId="49" fontId="72" fillId="19" borderId="0" xfId="0" applyNumberFormat="1" applyFont="1" applyFill="1">
      <alignment vertical="top"/>
    </xf>
    <xf numFmtId="49" fontId="28" fillId="0" borderId="3" xfId="0" applyNumberFormat="1" applyFont="1" applyBorder="1">
      <alignment vertical="top"/>
    </xf>
    <xf numFmtId="49" fontId="28" fillId="0" borderId="8" xfId="0" applyFont="1" applyBorder="1">
      <alignment vertical="top"/>
    </xf>
    <xf numFmtId="49" fontId="28" fillId="0" borderId="27" xfId="0" applyFont="1" applyBorder="1">
      <alignment vertical="top"/>
    </xf>
    <xf numFmtId="49" fontId="76" fillId="14" borderId="3" xfId="0" applyNumberFormat="1" applyFont="1" applyFill="1" applyBorder="1">
      <alignment vertical="top"/>
    </xf>
    <xf numFmtId="49" fontId="76" fillId="14" borderId="0" xfId="0" applyNumberFormat="1" applyFont="1" applyFill="1">
      <alignment vertical="top"/>
    </xf>
    <xf numFmtId="49" fontId="72" fillId="0" borderId="5" xfId="0" applyFont="1" applyBorder="1">
      <alignment vertical="top"/>
    </xf>
    <xf numFmtId="49" fontId="28" fillId="8" borderId="3" xfId="0" applyNumberFormat="1" applyFont="1" applyFill="1" applyBorder="1">
      <alignment vertical="top"/>
    </xf>
    <xf numFmtId="2" fontId="5" fillId="0" borderId="14" xfId="0" applyNumberFormat="1" applyFont="1" applyBorder="1">
      <alignment vertical="top"/>
    </xf>
    <xf numFmtId="49" fontId="81" fillId="0" borderId="0" xfId="0" applyFont="1">
      <alignment vertical="top"/>
    </xf>
    <xf numFmtId="49" fontId="82" fillId="8" borderId="0" xfId="0" applyFont="1" applyFill="1">
      <alignment vertical="top"/>
    </xf>
    <xf numFmtId="49" fontId="28" fillId="0" borderId="18" xfId="0" applyFont="1" applyBorder="1">
      <alignment vertical="top"/>
    </xf>
    <xf numFmtId="49" fontId="34" fillId="0" borderId="5" xfId="0" applyNumberFormat="1" applyFont="1" applyBorder="1">
      <alignment vertical="top"/>
    </xf>
    <xf numFmtId="49" fontId="34" fillId="0" borderId="6" xfId="0" applyNumberFormat="1" applyFont="1" applyBorder="1">
      <alignment vertical="top"/>
    </xf>
    <xf numFmtId="4" fontId="5" fillId="0" borderId="8" xfId="0" applyNumberFormat="1" applyFont="1" applyBorder="1">
      <alignment vertical="top"/>
    </xf>
    <xf numFmtId="4" fontId="5" fillId="0" borderId="23" xfId="0" applyNumberFormat="1" applyFont="1" applyBorder="1">
      <alignment vertical="top"/>
    </xf>
    <xf numFmtId="49" fontId="34" fillId="0" borderId="28" xfId="0" applyNumberFormat="1" applyFont="1" applyBorder="1">
      <alignment vertical="top"/>
    </xf>
    <xf numFmtId="49" fontId="34" fillId="0" borderId="21" xfId="0" applyNumberFormat="1" applyFont="1" applyBorder="1">
      <alignment vertical="top"/>
    </xf>
    <xf numFmtId="49" fontId="5" fillId="0" borderId="27" xfId="0" applyFont="1" applyBorder="1">
      <alignment vertical="top"/>
    </xf>
    <xf numFmtId="49" fontId="5" fillId="0" borderId="23" xfId="0" applyFont="1" applyBorder="1">
      <alignment vertical="top"/>
    </xf>
    <xf numFmtId="4" fontId="5" fillId="0" borderId="31" xfId="0" applyNumberFormat="1" applyFont="1" applyBorder="1">
      <alignment vertical="top"/>
    </xf>
    <xf numFmtId="2" fontId="28" fillId="0" borderId="14" xfId="0" applyNumberFormat="1" applyFont="1" applyBorder="1">
      <alignment vertical="top"/>
    </xf>
    <xf numFmtId="49" fontId="28" fillId="0" borderId="5" xfId="0" applyNumberFormat="1" applyFont="1" applyBorder="1">
      <alignment vertical="top"/>
    </xf>
    <xf numFmtId="49" fontId="28" fillId="0" borderId="6" xfId="0" applyNumberFormat="1" applyFont="1" applyBorder="1">
      <alignment vertical="top"/>
    </xf>
    <xf numFmtId="49" fontId="20" fillId="0" borderId="10" xfId="0" applyNumberFormat="1" applyFont="1" applyBorder="1">
      <alignment vertical="top"/>
    </xf>
    <xf numFmtId="49" fontId="5" fillId="13" borderId="3" xfId="0" applyFont="1" applyFill="1" applyBorder="1">
      <alignment vertical="top"/>
    </xf>
    <xf numFmtId="49" fontId="34" fillId="9" borderId="4" xfId="0" applyNumberFormat="1" applyFont="1" applyFill="1" applyBorder="1">
      <alignment vertical="top"/>
    </xf>
    <xf numFmtId="49" fontId="5" fillId="0" borderId="18" xfId="0" applyFont="1" applyBorder="1">
      <alignment vertical="top"/>
    </xf>
    <xf numFmtId="49" fontId="5" fillId="10" borderId="32" xfId="0" applyNumberFormat="1" applyFont="1" applyFill="1" applyBorder="1">
      <alignment vertical="top"/>
    </xf>
    <xf numFmtId="49" fontId="30" fillId="10" borderId="33" xfId="0" applyNumberFormat="1" applyFont="1" applyFill="1" applyBorder="1">
      <alignment vertical="top"/>
    </xf>
    <xf numFmtId="49" fontId="30" fillId="10" borderId="34" xfId="0" applyNumberFormat="1" applyFont="1" applyFill="1" applyBorder="1">
      <alignment vertical="top"/>
    </xf>
    <xf numFmtId="49" fontId="75" fillId="0" borderId="0" xfId="0" applyNumberFormat="1" applyFont="1">
      <alignment vertical="top"/>
    </xf>
    <xf numFmtId="49" fontId="12" fillId="20" borderId="0" xfId="0" applyNumberFormat="1" applyFont="1" applyFill="1">
      <alignment vertical="top"/>
    </xf>
    <xf numFmtId="49" fontId="0" fillId="21" borderId="0" xfId="0" applyFont="1" applyFill="1">
      <alignment vertical="top"/>
    </xf>
    <xf numFmtId="49" fontId="0" fillId="22" borderId="3" xfId="0" applyFont="1" applyFill="1" applyBorder="1">
      <alignment vertical="top"/>
    </xf>
    <xf numFmtId="49" fontId="27" fillId="20" borderId="3" xfId="0" applyNumberFormat="1" applyFont="1" applyFill="1" applyBorder="1">
      <alignment vertical="top"/>
    </xf>
    <xf numFmtId="49" fontId="27" fillId="23" borderId="3" xfId="0" applyNumberFormat="1" applyFont="1" applyFill="1" applyBorder="1">
      <alignment vertical="top"/>
    </xf>
    <xf numFmtId="49" fontId="0" fillId="24" borderId="3" xfId="0" applyNumberFormat="1" applyFont="1" applyFill="1" applyBorder="1">
      <alignment vertical="top"/>
    </xf>
    <xf numFmtId="49" fontId="5" fillId="0" borderId="35" xfId="0" applyNumberFormat="1" applyFont="1" applyBorder="1">
      <alignment vertical="top"/>
    </xf>
    <xf numFmtId="49" fontId="5" fillId="0" borderId="36" xfId="0" applyFont="1" applyBorder="1">
      <alignment vertical="top"/>
    </xf>
    <xf numFmtId="49" fontId="0" fillId="0" borderId="4" xfId="0" applyFont="1" applyBorder="1">
      <alignment vertical="top"/>
    </xf>
    <xf numFmtId="49" fontId="0" fillId="9" borderId="22" xfId="0" applyNumberFormat="1" applyFont="1" applyFill="1" applyBorder="1">
      <alignment vertical="top"/>
    </xf>
    <xf numFmtId="49" fontId="0" fillId="0" borderId="22" xfId="0" applyNumberFormat="1" applyFont="1" applyBorder="1">
      <alignment vertical="top"/>
    </xf>
    <xf numFmtId="49" fontId="0" fillId="7" borderId="22" xfId="0" applyFont="1" applyFill="1" applyBorder="1">
      <alignment vertical="top"/>
    </xf>
    <xf numFmtId="49" fontId="83" fillId="0" borderId="37" xfId="0" applyFont="1" applyBorder="1">
      <alignment vertical="top"/>
    </xf>
    <xf numFmtId="49" fontId="0" fillId="0" borderId="37" xfId="0" applyFont="1" applyBorder="1">
      <alignment vertical="top"/>
    </xf>
    <xf numFmtId="49" fontId="12" fillId="20" borderId="3" xfId="0" applyNumberFormat="1" applyFont="1" applyFill="1" applyBorder="1">
      <alignment vertical="top"/>
    </xf>
    <xf numFmtId="49" fontId="5" fillId="9" borderId="28" xfId="0" applyNumberFormat="1" applyFont="1" applyFill="1" applyBorder="1">
      <alignment vertical="top"/>
    </xf>
    <xf numFmtId="49" fontId="5" fillId="14" borderId="14" xfId="0" applyFont="1" applyFill="1" applyBorder="1">
      <alignment vertical="top"/>
    </xf>
    <xf numFmtId="49" fontId="5" fillId="14" borderId="3" xfId="0" applyFont="1" applyFill="1" applyBorder="1">
      <alignment vertical="top"/>
    </xf>
    <xf numFmtId="49" fontId="0" fillId="0" borderId="23" xfId="0" applyFont="1" applyBorder="1">
      <alignment vertical="top"/>
    </xf>
    <xf numFmtId="49" fontId="12" fillId="20" borderId="5" xfId="0" applyNumberFormat="1" applyFont="1" applyFill="1" applyBorder="1">
      <alignment vertical="top"/>
    </xf>
    <xf numFmtId="49" fontId="84" fillId="0" borderId="38" xfId="0" applyFont="1" applyBorder="1">
      <alignment vertical="top"/>
    </xf>
    <xf numFmtId="49" fontId="84" fillId="0" borderId="39" xfId="0" applyFont="1" applyBorder="1">
      <alignment vertical="top"/>
    </xf>
    <xf numFmtId="49" fontId="84" fillId="0" borderId="40" xfId="0" applyFont="1" applyBorder="1">
      <alignment vertical="top"/>
    </xf>
    <xf numFmtId="49" fontId="27" fillId="20" borderId="0" xfId="0" applyNumberFormat="1" applyFont="1" applyFill="1">
      <alignment vertical="top"/>
    </xf>
    <xf numFmtId="49" fontId="85" fillId="0" borderId="7" xfId="0" applyFont="1" applyBorder="1">
      <alignment vertical="top"/>
    </xf>
    <xf numFmtId="49" fontId="5" fillId="10" borderId="41" xfId="0" applyFont="1" applyFill="1" applyBorder="1">
      <alignment vertical="top"/>
    </xf>
    <xf numFmtId="49" fontId="5" fillId="10" borderId="42" xfId="0" applyFont="1" applyFill="1" applyBorder="1">
      <alignment vertical="top"/>
    </xf>
    <xf numFmtId="49" fontId="86" fillId="10" borderId="5" xfId="0" applyNumberFormat="1" applyFont="1" applyFill="1" applyBorder="1">
      <alignment vertical="top"/>
    </xf>
    <xf numFmtId="49" fontId="86" fillId="10" borderId="6" xfId="0" applyNumberFormat="1" applyFont="1" applyFill="1" applyBorder="1">
      <alignment vertical="top"/>
    </xf>
    <xf numFmtId="49" fontId="75" fillId="10" borderId="34" xfId="0" applyNumberFormat="1" applyFont="1" applyFill="1" applyBorder="1">
      <alignment vertical="top"/>
    </xf>
    <xf numFmtId="49" fontId="86" fillId="10" borderId="34" xfId="0" applyNumberFormat="1" applyFont="1" applyFill="1" applyBorder="1">
      <alignment vertical="top"/>
    </xf>
    <xf numFmtId="49" fontId="25" fillId="13" borderId="3" xfId="0" applyFont="1" applyFill="1" applyBorder="1">
      <alignment vertical="top"/>
    </xf>
    <xf numFmtId="49" fontId="25" fillId="10" borderId="6" xfId="0" applyNumberFormat="1" applyFont="1" applyFill="1" applyBorder="1">
      <alignment vertical="top"/>
    </xf>
    <xf numFmtId="49" fontId="25" fillId="10" borderId="4" xfId="0" applyNumberFormat="1" applyFont="1" applyFill="1" applyBorder="1">
      <alignment vertical="top"/>
    </xf>
    <xf numFmtId="49" fontId="25" fillId="10" borderId="43" xfId="0" applyNumberFormat="1" applyFont="1" applyFill="1" applyBorder="1">
      <alignment vertical="top"/>
    </xf>
    <xf numFmtId="49" fontId="86" fillId="10" borderId="43" xfId="0" applyNumberFormat="1" applyFont="1" applyFill="1" applyBorder="1">
      <alignment vertical="top"/>
    </xf>
    <xf numFmtId="49" fontId="0" fillId="0" borderId="40" xfId="0" applyFont="1" applyBorder="1">
      <alignment vertical="top"/>
    </xf>
    <xf numFmtId="49" fontId="5" fillId="0" borderId="40" xfId="0" applyFont="1" applyBorder="1">
      <alignment vertical="top"/>
    </xf>
    <xf numFmtId="49" fontId="5" fillId="0" borderId="44" xfId="0" applyFont="1" applyBorder="1">
      <alignment vertical="top"/>
    </xf>
    <xf numFmtId="49" fontId="5" fillId="0" borderId="45" xfId="0" applyFont="1" applyBorder="1">
      <alignment vertical="top"/>
    </xf>
    <xf numFmtId="49" fontId="0" fillId="10" borderId="41" xfId="0" applyFont="1" applyFill="1" applyBorder="1">
      <alignment vertical="top"/>
    </xf>
    <xf numFmtId="49" fontId="16" fillId="14" borderId="3" xfId="0" applyNumberFormat="1" applyFont="1" applyFill="1" applyBorder="1">
      <alignment vertical="top"/>
    </xf>
    <xf numFmtId="49" fontId="16" fillId="0" borderId="3" xfId="0" applyFont="1" applyBorder="1">
      <alignment vertical="top"/>
    </xf>
    <xf numFmtId="49" fontId="16" fillId="0" borderId="14" xfId="0" applyNumberFormat="1" applyFont="1" applyBorder="1">
      <alignment vertical="top"/>
    </xf>
    <xf numFmtId="49" fontId="27" fillId="0" borderId="8" xfId="0" applyNumberFormat="1" applyFont="1" applyBorder="1">
      <alignment vertical="top"/>
    </xf>
    <xf numFmtId="49" fontId="5" fillId="0" borderId="46" xfId="0" applyNumberFormat="1" applyFont="1" applyBorder="1">
      <alignment vertical="top"/>
    </xf>
    <xf numFmtId="49" fontId="5" fillId="0" borderId="46" xfId="0" applyFont="1" applyBorder="1">
      <alignment vertical="top"/>
    </xf>
    <xf numFmtId="49" fontId="20" fillId="10" borderId="47" xfId="0" applyNumberFormat="1" applyFont="1" applyFill="1" applyBorder="1">
      <alignment vertical="top"/>
    </xf>
    <xf numFmtId="49" fontId="20" fillId="10" borderId="42" xfId="0" applyNumberFormat="1" applyFont="1" applyFill="1" applyBorder="1">
      <alignment vertical="top"/>
    </xf>
    <xf numFmtId="49" fontId="20" fillId="25" borderId="4" xfId="0" applyNumberFormat="1" applyFont="1" applyFill="1" applyBorder="1">
      <alignment vertical="top"/>
    </xf>
    <xf numFmtId="49" fontId="5" fillId="21" borderId="0" xfId="0" applyFont="1" applyFill="1">
      <alignment vertical="top"/>
    </xf>
    <xf numFmtId="49" fontId="5" fillId="8" borderId="10" xfId="0" applyFont="1" applyFill="1" applyBorder="1">
      <alignment vertical="top"/>
    </xf>
    <xf numFmtId="49" fontId="28" fillId="0" borderId="30" xfId="0" applyFont="1" applyBorder="1">
      <alignment vertical="top"/>
    </xf>
    <xf numFmtId="49" fontId="0" fillId="7" borderId="3" xfId="0" applyNumberFormat="1" applyFont="1" applyFill="1" applyBorder="1">
      <alignment vertical="top"/>
    </xf>
    <xf numFmtId="49" fontId="5" fillId="0" borderId="13" xfId="0" applyFont="1" applyBorder="1">
      <alignment vertical="top"/>
    </xf>
    <xf numFmtId="4" fontId="0" fillId="9" borderId="3" xfId="0" applyNumberFormat="1" applyFont="1" applyFill="1" applyBorder="1">
      <alignment vertical="top"/>
    </xf>
    <xf numFmtId="49" fontId="5" fillId="12" borderId="8" xfId="0" applyNumberFormat="1" applyFont="1" applyFill="1" applyBorder="1">
      <alignment vertical="top"/>
    </xf>
    <xf numFmtId="49" fontId="5" fillId="8" borderId="18" xfId="0" applyFont="1" applyFill="1" applyBorder="1">
      <alignment vertical="top"/>
    </xf>
    <xf numFmtId="49" fontId="28" fillId="8" borderId="10" xfId="0" applyFont="1" applyFill="1" applyBorder="1">
      <alignment vertical="top"/>
    </xf>
    <xf numFmtId="49" fontId="87" fillId="8" borderId="0" xfId="0" applyFont="1" applyFill="1">
      <alignment vertical="top"/>
    </xf>
    <xf numFmtId="49" fontId="28" fillId="8" borderId="0" xfId="0" applyNumberFormat="1" applyFont="1" applyFill="1">
      <alignment vertical="top"/>
    </xf>
    <xf numFmtId="49" fontId="88" fillId="8" borderId="0" xfId="0" applyFont="1" applyFill="1">
      <alignment vertical="top"/>
    </xf>
    <xf numFmtId="49" fontId="61" fillId="8" borderId="10" xfId="0" applyNumberFormat="1" applyFont="1" applyFill="1" applyBorder="1">
      <alignment vertical="top"/>
    </xf>
    <xf numFmtId="49" fontId="61" fillId="8" borderId="10" xfId="0" applyFont="1" applyFill="1" applyBorder="1">
      <alignment vertical="top"/>
    </xf>
    <xf numFmtId="168" fontId="5" fillId="9" borderId="3" xfId="0" applyNumberFormat="1" applyFont="1" applyFill="1" applyBorder="1">
      <alignment vertical="top"/>
    </xf>
    <xf numFmtId="49" fontId="25" fillId="0" borderId="3" xfId="0" applyFont="1" applyBorder="1">
      <alignment vertical="top"/>
    </xf>
    <xf numFmtId="49" fontId="89" fillId="0" borderId="0" xfId="0" applyFont="1">
      <alignment vertical="top"/>
    </xf>
    <xf numFmtId="49" fontId="90" fillId="10" borderId="6" xfId="0" applyNumberFormat="1" applyFont="1" applyFill="1" applyBorder="1">
      <alignment vertical="top"/>
    </xf>
    <xf numFmtId="49" fontId="53" fillId="10" borderId="6" xfId="0" applyNumberFormat="1" applyFont="1" applyFill="1" applyBorder="1">
      <alignment vertical="top"/>
    </xf>
    <xf numFmtId="49" fontId="48" fillId="10" borderId="6" xfId="0" applyNumberFormat="1" applyFont="1" applyFill="1" applyBorder="1">
      <alignment vertical="top"/>
    </xf>
    <xf numFmtId="49" fontId="48" fillId="10" borderId="4" xfId="0" applyNumberFormat="1" applyFont="1" applyFill="1" applyBorder="1">
      <alignment vertical="top"/>
    </xf>
    <xf numFmtId="49" fontId="54" fillId="10" borderId="5" xfId="0" applyNumberFormat="1" applyFont="1" applyFill="1" applyBorder="1">
      <alignment vertical="top"/>
    </xf>
    <xf numFmtId="49" fontId="82" fillId="10" borderId="5" xfId="0" applyNumberFormat="1" applyFont="1" applyFill="1" applyBorder="1">
      <alignment vertical="top"/>
    </xf>
    <xf numFmtId="49" fontId="48" fillId="10" borderId="5" xfId="0" applyNumberFormat="1" applyFont="1" applyFill="1" applyBorder="1">
      <alignment vertical="top"/>
    </xf>
    <xf numFmtId="49" fontId="35" fillId="21" borderId="0" xfId="0" applyFont="1" applyFill="1">
      <alignment vertical="top"/>
    </xf>
    <xf numFmtId="49" fontId="5" fillId="0" borderId="11" xfId="0" applyNumberFormat="1" applyFont="1" applyBorder="1">
      <alignment vertical="top"/>
    </xf>
    <xf numFmtId="49" fontId="20" fillId="0" borderId="0" xfId="0" applyFont="1">
      <alignment vertical="top"/>
    </xf>
    <xf numFmtId="49" fontId="20" fillId="0" borderId="15" xfId="0" applyFont="1" applyBorder="1">
      <alignment vertical="top"/>
    </xf>
    <xf numFmtId="49" fontId="20" fillId="0" borderId="21" xfId="0" applyFont="1" applyBorder="1">
      <alignment vertical="top"/>
    </xf>
    <xf numFmtId="49" fontId="20" fillId="0" borderId="18" xfId="0" applyFont="1" applyBorder="1">
      <alignment vertical="top"/>
    </xf>
    <xf numFmtId="49" fontId="0" fillId="0" borderId="18" xfId="0" applyFont="1" applyBorder="1">
      <alignment vertical="top"/>
    </xf>
    <xf numFmtId="49" fontId="20" fillId="0" borderId="20" xfId="0" applyFont="1" applyBorder="1">
      <alignment vertical="top"/>
    </xf>
    <xf numFmtId="49" fontId="25" fillId="0" borderId="8" xfId="0" applyFont="1" applyBorder="1">
      <alignment vertical="top"/>
    </xf>
    <xf numFmtId="49" fontId="88" fillId="0" borderId="0" xfId="0" applyFont="1">
      <alignment vertical="top"/>
    </xf>
    <xf numFmtId="49" fontId="78" fillId="0" borderId="10" xfId="0" applyNumberFormat="1" applyFont="1" applyBorder="1">
      <alignment vertical="top"/>
    </xf>
    <xf numFmtId="49" fontId="28" fillId="0" borderId="10" xfId="0" applyNumberFormat="1" applyFont="1" applyBorder="1">
      <alignment vertical="top"/>
    </xf>
    <xf numFmtId="49" fontId="78" fillId="0" borderId="0" xfId="0" applyNumberFormat="1" applyFont="1">
      <alignment vertical="top"/>
    </xf>
    <xf numFmtId="4" fontId="5" fillId="0" borderId="14" xfId="0" applyNumberFormat="1" applyFont="1" applyBorder="1">
      <alignment vertical="top"/>
    </xf>
    <xf numFmtId="168" fontId="27" fillId="0" borderId="3" xfId="0" applyNumberFormat="1" applyFont="1" applyBorder="1">
      <alignment vertical="top"/>
    </xf>
    <xf numFmtId="49" fontId="50" fillId="0" borderId="0" xfId="0" applyFont="1">
      <alignment vertical="top"/>
    </xf>
    <xf numFmtId="49" fontId="0" fillId="0" borderId="6" xfId="0" applyFont="1" applyBorder="1">
      <alignment vertical="top"/>
    </xf>
    <xf numFmtId="4" fontId="5" fillId="0" borderId="4" xfId="0" applyNumberFormat="1" applyFont="1" applyBorder="1">
      <alignment vertical="top"/>
    </xf>
    <xf numFmtId="49" fontId="78" fillId="0" borderId="5" xfId="0" applyNumberFormat="1" applyFont="1" applyBorder="1">
      <alignment vertical="top"/>
    </xf>
    <xf numFmtId="4" fontId="5" fillId="0" borderId="27" xfId="0" applyNumberFormat="1" applyFont="1" applyBorder="1">
      <alignment vertical="top"/>
    </xf>
    <xf numFmtId="4" fontId="5" fillId="10" borderId="6" xfId="0" applyNumberFormat="1" applyFont="1" applyFill="1" applyBorder="1">
      <alignment vertical="top"/>
    </xf>
    <xf numFmtId="4" fontId="28" fillId="10" borderId="6" xfId="0" applyNumberFormat="1" applyFont="1" applyFill="1" applyBorder="1">
      <alignment vertical="top"/>
    </xf>
    <xf numFmtId="4" fontId="5" fillId="10" borderId="4" xfId="0" applyNumberFormat="1" applyFont="1" applyFill="1" applyBorder="1">
      <alignment vertical="top"/>
    </xf>
    <xf numFmtId="4" fontId="28" fillId="10" borderId="4" xfId="0" applyNumberFormat="1" applyFont="1" applyFill="1" applyBorder="1">
      <alignment vertical="top"/>
    </xf>
    <xf numFmtId="168" fontId="5" fillId="10" borderId="4" xfId="0" applyNumberFormat="1" applyFont="1" applyFill="1" applyBorder="1">
      <alignment vertical="top"/>
    </xf>
    <xf numFmtId="49" fontId="53" fillId="0" borderId="15" xfId="0" applyFont="1" applyBorder="1">
      <alignment vertical="top"/>
    </xf>
    <xf numFmtId="168" fontId="28" fillId="0" borderId="3" xfId="0" applyNumberFormat="1" applyFont="1" applyBorder="1">
      <alignment vertical="top"/>
    </xf>
    <xf numFmtId="168" fontId="5" fillId="9" borderId="5" xfId="0" applyNumberFormat="1" applyFont="1" applyFill="1" applyBorder="1">
      <alignment vertical="top"/>
    </xf>
    <xf numFmtId="4" fontId="28" fillId="0" borderId="5" xfId="0" applyNumberFormat="1" applyFont="1" applyBorder="1">
      <alignment vertical="top"/>
    </xf>
    <xf numFmtId="4" fontId="5" fillId="9" borderId="4" xfId="0" applyNumberFormat="1" applyFont="1" applyFill="1" applyBorder="1">
      <alignment vertical="top"/>
    </xf>
    <xf numFmtId="49" fontId="5" fillId="10" borderId="18" xfId="0" applyNumberFormat="1" applyFont="1" applyFill="1" applyBorder="1">
      <alignment vertical="top"/>
    </xf>
    <xf numFmtId="49" fontId="37" fillId="8" borderId="0" xfId="0" applyFont="1" applyFill="1">
      <alignment vertical="top"/>
    </xf>
    <xf numFmtId="49" fontId="0" fillId="0" borderId="10" xfId="0" applyNumberFormat="1" applyFont="1" applyBorder="1">
      <alignment vertical="top"/>
    </xf>
    <xf numFmtId="49" fontId="5" fillId="0" borderId="10" xfId="0" applyNumberFormat="1" applyFont="1" applyBorder="1">
      <alignment vertical="top"/>
    </xf>
    <xf numFmtId="49" fontId="20" fillId="10" borderId="20" xfId="0" applyFont="1" applyFill="1" applyBorder="1">
      <alignment vertical="top"/>
    </xf>
    <xf numFmtId="49" fontId="28" fillId="0" borderId="5" xfId="0" applyFont="1" applyBorder="1">
      <alignment vertical="top"/>
    </xf>
    <xf numFmtId="49" fontId="28" fillId="0" borderId="6" xfId="0" applyFont="1" applyBorder="1">
      <alignment vertical="top"/>
    </xf>
    <xf numFmtId="4" fontId="5" fillId="0" borderId="28" xfId="0" applyNumberFormat="1" applyFont="1" applyBorder="1">
      <alignment vertical="top"/>
    </xf>
    <xf numFmtId="49" fontId="0" fillId="10" borderId="20" xfId="0" applyNumberFormat="1" applyFont="1" applyFill="1" applyBorder="1">
      <alignment vertical="top"/>
    </xf>
    <xf numFmtId="49" fontId="91" fillId="0" borderId="0" xfId="0" applyFont="1">
      <alignment vertical="top"/>
    </xf>
    <xf numFmtId="168" fontId="5" fillId="10" borderId="6" xfId="0" applyNumberFormat="1" applyFont="1" applyFill="1" applyBorder="1">
      <alignment vertical="top"/>
    </xf>
    <xf numFmtId="49" fontId="92" fillId="0" borderId="0" xfId="0" applyFont="1">
      <alignment vertical="top"/>
    </xf>
    <xf numFmtId="49" fontId="92" fillId="8" borderId="0" xfId="0" applyFont="1" applyFill="1">
      <alignment vertical="top"/>
    </xf>
    <xf numFmtId="49" fontId="53" fillId="8" borderId="0" xfId="0" applyFont="1" applyFill="1">
      <alignment vertical="top"/>
    </xf>
    <xf numFmtId="49" fontId="48" fillId="8" borderId="0" xfId="0" applyFont="1" applyFill="1">
      <alignment vertical="top"/>
    </xf>
    <xf numFmtId="49" fontId="65" fillId="8" borderId="0" xfId="0" applyFont="1" applyFill="1">
      <alignment vertical="top"/>
    </xf>
    <xf numFmtId="49" fontId="49" fillId="8" borderId="0" xfId="0" applyFont="1" applyFill="1">
      <alignment vertical="top"/>
    </xf>
    <xf numFmtId="14" fontId="5" fillId="12" borderId="14" xfId="0" applyNumberFormat="1" applyFont="1" applyFill="1" applyBorder="1">
      <alignment vertical="top"/>
    </xf>
    <xf numFmtId="49" fontId="93" fillId="0" borderId="0" xfId="0" applyFont="1">
      <alignment vertical="top"/>
    </xf>
    <xf numFmtId="171" fontId="5" fillId="0" borderId="14" xfId="0" applyNumberFormat="1" applyFont="1" applyBorder="1">
      <alignment vertical="top"/>
    </xf>
    <xf numFmtId="14" fontId="5" fillId="12" borderId="3" xfId="0" applyNumberFormat="1" applyFont="1" applyFill="1" applyBorder="1">
      <alignment vertical="top"/>
    </xf>
    <xf numFmtId="49" fontId="5" fillId="7" borderId="14" xfId="0" applyFont="1" applyFill="1" applyBorder="1">
      <alignment vertical="top"/>
    </xf>
    <xf numFmtId="171" fontId="5" fillId="0" borderId="8" xfId="0" applyNumberFormat="1" applyFont="1" applyBorder="1">
      <alignment vertical="top"/>
    </xf>
    <xf numFmtId="49" fontId="30" fillId="10" borderId="21" xfId="0" applyNumberFormat="1" applyFont="1" applyFill="1" applyBorder="1">
      <alignment vertical="top"/>
    </xf>
    <xf numFmtId="49" fontId="0" fillId="10" borderId="18" xfId="0" applyNumberFormat="1" applyFont="1" applyFill="1" applyBorder="1">
      <alignment vertical="top"/>
    </xf>
    <xf numFmtId="49" fontId="34" fillId="10" borderId="18" xfId="0" applyNumberFormat="1" applyFont="1" applyFill="1" applyBorder="1">
      <alignment vertical="top"/>
    </xf>
    <xf numFmtId="171" fontId="5" fillId="0" borderId="28" xfId="0" applyNumberFormat="1" applyFont="1" applyBorder="1">
      <alignment vertical="top"/>
    </xf>
    <xf numFmtId="49" fontId="27" fillId="8" borderId="0" xfId="0" applyFont="1" applyFill="1">
      <alignment vertical="top"/>
    </xf>
    <xf numFmtId="49" fontId="5" fillId="0" borderId="28" xfId="0" applyFont="1" applyBorder="1">
      <alignment vertical="top"/>
    </xf>
    <xf numFmtId="49" fontId="5" fillId="0" borderId="27" xfId="0" applyNumberFormat="1" applyFont="1" applyBorder="1">
      <alignment vertical="top"/>
    </xf>
    <xf numFmtId="49" fontId="20" fillId="0" borderId="14" xfId="0" applyFont="1" applyBorder="1">
      <alignment vertical="top"/>
    </xf>
    <xf numFmtId="49" fontId="20" fillId="0" borderId="27" xfId="0" applyFont="1" applyBorder="1">
      <alignment vertical="top"/>
    </xf>
    <xf numFmtId="49" fontId="20" fillId="10" borderId="28" xfId="0" applyFont="1" applyFill="1" applyBorder="1">
      <alignment vertical="top"/>
    </xf>
    <xf numFmtId="49" fontId="48" fillId="10" borderId="5" xfId="0" applyFont="1" applyFill="1" applyBorder="1">
      <alignment vertical="top"/>
    </xf>
    <xf numFmtId="49" fontId="48" fillId="10" borderId="6" xfId="0" applyFont="1" applyFill="1" applyBorder="1">
      <alignment vertical="top"/>
    </xf>
    <xf numFmtId="49" fontId="5" fillId="13" borderId="8" xfId="0" applyNumberFormat="1" applyFont="1" applyFill="1" applyBorder="1">
      <alignment vertical="top"/>
    </xf>
    <xf numFmtId="49" fontId="94" fillId="0" borderId="0" xfId="0" applyFont="1">
      <alignment vertical="top"/>
    </xf>
    <xf numFmtId="49" fontId="95" fillId="0" borderId="0" xfId="0" applyFont="1">
      <alignment vertical="top"/>
    </xf>
    <xf numFmtId="49" fontId="17" fillId="0" borderId="10" xfId="0" applyNumberFormat="1" applyFont="1" applyBorder="1">
      <alignment vertical="top"/>
    </xf>
    <xf numFmtId="49" fontId="48" fillId="0" borderId="21" xfId="0" applyFont="1" applyBorder="1">
      <alignment vertical="top"/>
    </xf>
    <xf numFmtId="49" fontId="5" fillId="0" borderId="28" xfId="0" applyNumberFormat="1" applyFont="1" applyBorder="1">
      <alignment vertical="top"/>
    </xf>
    <xf numFmtId="49" fontId="5" fillId="0" borderId="13" xfId="0" applyNumberFormat="1" applyFont="1" applyBorder="1">
      <alignment vertical="top"/>
    </xf>
    <xf numFmtId="49" fontId="20" fillId="0" borderId="13" xfId="0" applyFont="1" applyBorder="1">
      <alignment vertical="top"/>
    </xf>
    <xf numFmtId="49" fontId="48" fillId="0" borderId="18" xfId="0" applyFont="1" applyBorder="1">
      <alignment vertical="top"/>
    </xf>
    <xf numFmtId="49" fontId="17" fillId="8" borderId="3" xfId="0" applyFont="1" applyFill="1" applyBorder="1">
      <alignment vertical="top"/>
    </xf>
    <xf numFmtId="3" fontId="5" fillId="12" borderId="3" xfId="0" applyNumberFormat="1" applyFont="1" applyFill="1" applyBorder="1">
      <alignment vertical="top"/>
    </xf>
    <xf numFmtId="49" fontId="5" fillId="0" borderId="48" xfId="0" applyNumberFormat="1" applyFont="1" applyBorder="1">
      <alignment vertical="top"/>
    </xf>
    <xf numFmtId="49" fontId="5" fillId="0" borderId="19" xfId="0" applyNumberFormat="1" applyFont="1" applyBorder="1">
      <alignment vertical="top"/>
    </xf>
    <xf numFmtId="49" fontId="5" fillId="0" borderId="49" xfId="0" applyNumberFormat="1" applyFont="1" applyBorder="1">
      <alignment vertical="top"/>
    </xf>
    <xf numFmtId="49" fontId="5" fillId="0" borderId="50" xfId="0" applyNumberFormat="1" applyFont="1" applyBorder="1">
      <alignment vertical="top"/>
    </xf>
    <xf numFmtId="4" fontId="5" fillId="12" borderId="8" xfId="0" applyNumberFormat="1" applyFont="1" applyFill="1" applyBorder="1">
      <alignment vertical="top"/>
    </xf>
    <xf numFmtId="49" fontId="24" fillId="0" borderId="10" xfId="0" applyNumberFormat="1" applyFont="1" applyBorder="1">
      <alignment vertical="top"/>
    </xf>
    <xf numFmtId="49" fontId="5" fillId="13" borderId="5" xfId="0" applyNumberFormat="1" applyFont="1" applyFill="1" applyBorder="1">
      <alignment vertical="top"/>
    </xf>
    <xf numFmtId="49" fontId="0" fillId="8" borderId="14" xfId="0" applyFont="1" applyFill="1" applyBorder="1">
      <alignment vertical="top"/>
    </xf>
    <xf numFmtId="49" fontId="0" fillId="21" borderId="1" xfId="0" applyFont="1" applyFill="1" applyBorder="1">
      <alignment vertical="top"/>
    </xf>
    <xf numFmtId="49" fontId="0" fillId="0" borderId="1" xfId="0" applyFont="1" applyBorder="1">
      <alignment vertical="top"/>
    </xf>
    <xf numFmtId="49" fontId="96" fillId="0" borderId="0" xfId="0" applyFont="1">
      <alignment vertical="top"/>
    </xf>
    <xf numFmtId="49" fontId="47" fillId="0" borderId="0" xfId="0" applyNumberFormat="1" applyFont="1">
      <alignment vertical="top"/>
    </xf>
    <xf numFmtId="49" fontId="97" fillId="0" borderId="0" xfId="0" applyNumberFormat="1" applyFont="1">
      <alignment vertical="top"/>
    </xf>
    <xf numFmtId="49" fontId="83" fillId="0" borderId="0" xfId="0" applyFont="1">
      <alignment vertical="top"/>
    </xf>
    <xf numFmtId="49" fontId="98" fillId="0" borderId="0" xfId="0" applyNumberFormat="1" applyFont="1">
      <alignment vertical="top"/>
    </xf>
    <xf numFmtId="49" fontId="99" fillId="0" borderId="0" xfId="0" applyFont="1">
      <alignment vertical="top"/>
    </xf>
    <xf numFmtId="49" fontId="100" fillId="0" borderId="0" xfId="0" applyFont="1">
      <alignment vertical="top"/>
    </xf>
    <xf numFmtId="49" fontId="47" fillId="0" borderId="29" xfId="0" applyFont="1" applyBorder="1">
      <alignment vertical="top"/>
    </xf>
    <xf numFmtId="49" fontId="101" fillId="0" borderId="0" xfId="0" applyFont="1">
      <alignment vertical="top"/>
    </xf>
    <xf numFmtId="49" fontId="0" fillId="9" borderId="51" xfId="0" applyFont="1" applyFill="1" applyBorder="1">
      <alignment vertical="top"/>
    </xf>
    <xf numFmtId="49" fontId="0" fillId="26" borderId="51" xfId="0" applyFont="1" applyFill="1" applyBorder="1">
      <alignment vertical="top"/>
    </xf>
    <xf numFmtId="49" fontId="0" fillId="7" borderId="51" xfId="0" applyFont="1" applyFill="1" applyBorder="1">
      <alignment vertical="top"/>
    </xf>
    <xf numFmtId="49" fontId="0" fillId="12" borderId="51" xfId="0" applyFont="1" applyFill="1" applyBorder="1">
      <alignment vertical="top"/>
    </xf>
    <xf numFmtId="49" fontId="99" fillId="0" borderId="29" xfId="0" applyFont="1" applyBorder="1">
      <alignment vertical="top"/>
    </xf>
    <xf numFmtId="49" fontId="99" fillId="0" borderId="52" xfId="0" applyFont="1" applyBorder="1">
      <alignment vertical="top"/>
    </xf>
    <xf numFmtId="49" fontId="101" fillId="0" borderId="29" xfId="0" applyFont="1" applyBorder="1">
      <alignment vertical="top"/>
    </xf>
    <xf numFmtId="49" fontId="47" fillId="0" borderId="53" xfId="0" applyFont="1" applyBorder="1">
      <alignment vertical="top"/>
    </xf>
    <xf numFmtId="49" fontId="47" fillId="0" borderId="30" xfId="0" applyFont="1" applyBorder="1">
      <alignment vertical="top"/>
    </xf>
    <xf numFmtId="49" fontId="97" fillId="0" borderId="0" xfId="0" applyFont="1">
      <alignment vertical="top"/>
    </xf>
    <xf numFmtId="49" fontId="102" fillId="0" borderId="0" xfId="0" applyNumberFormat="1" applyFont="1">
      <alignment vertical="top"/>
    </xf>
    <xf numFmtId="49" fontId="5" fillId="21" borderId="0" xfId="0" applyNumberFormat="1" applyFont="1" applyFill="1">
      <alignment vertical="top"/>
    </xf>
    <xf numFmtId="170" fontId="0" fillId="12" borderId="3" xfId="0" applyNumberFormat="1" applyFont="1" applyFill="1" applyBorder="1">
      <alignment vertical="top"/>
    </xf>
    <xf numFmtId="170" fontId="0" fillId="0" borderId="3" xfId="0" applyNumberFormat="1" applyFont="1" applyBorder="1">
      <alignment vertical="top"/>
    </xf>
    <xf numFmtId="170" fontId="28" fillId="0" borderId="0" xfId="0" applyNumberFormat="1" applyFont="1">
      <alignment vertical="top"/>
    </xf>
    <xf numFmtId="170" fontId="28" fillId="0" borderId="3" xfId="0" applyNumberFormat="1" applyFont="1" applyBorder="1">
      <alignment vertical="top"/>
    </xf>
    <xf numFmtId="170" fontId="0" fillId="9" borderId="3" xfId="0" applyNumberFormat="1" applyFont="1" applyFill="1" applyBorder="1">
      <alignment vertical="top"/>
    </xf>
    <xf numFmtId="170" fontId="0" fillId="12" borderId="4" xfId="0" applyNumberFormat="1" applyFont="1" applyFill="1" applyBorder="1">
      <alignment vertical="top"/>
    </xf>
    <xf numFmtId="49" fontId="5" fillId="7" borderId="21" xfId="0" applyFont="1" applyFill="1" applyBorder="1">
      <alignment vertical="top"/>
    </xf>
    <xf numFmtId="49" fontId="0" fillId="0" borderId="25" xfId="0" applyFont="1" applyBorder="1">
      <alignment vertical="top"/>
    </xf>
    <xf numFmtId="49" fontId="0" fillId="0" borderId="24" xfId="0" applyFont="1" applyBorder="1">
      <alignment vertical="top"/>
    </xf>
    <xf numFmtId="49" fontId="0" fillId="7" borderId="27" xfId="0" applyFont="1" applyFill="1" applyBorder="1">
      <alignment vertical="top"/>
    </xf>
    <xf numFmtId="49" fontId="5" fillId="13" borderId="27" xfId="0" applyNumberFormat="1" applyFont="1" applyFill="1" applyBorder="1">
      <alignment vertical="top"/>
    </xf>
    <xf numFmtId="49" fontId="0" fillId="12" borderId="27" xfId="0" applyNumberFormat="1" applyFont="1" applyFill="1" applyBorder="1">
      <alignment vertical="top"/>
    </xf>
    <xf numFmtId="49" fontId="0" fillId="9" borderId="27" xfId="0" applyNumberFormat="1" applyFont="1" applyFill="1" applyBorder="1">
      <alignment vertical="top"/>
    </xf>
    <xf numFmtId="49" fontId="5" fillId="12" borderId="27" xfId="0" applyNumberFormat="1" applyFont="1" applyFill="1" applyBorder="1">
      <alignment vertical="top"/>
    </xf>
    <xf numFmtId="49" fontId="0" fillId="7" borderId="27" xfId="0" applyNumberFormat="1" applyFont="1" applyFill="1" applyBorder="1">
      <alignment vertical="top"/>
    </xf>
    <xf numFmtId="49" fontId="5" fillId="7" borderId="27" xfId="0" applyFont="1" applyFill="1" applyBorder="1">
      <alignment vertical="top"/>
    </xf>
    <xf numFmtId="49" fontId="5" fillId="9" borderId="27" xfId="0" applyFont="1" applyFill="1" applyBorder="1">
      <alignment vertical="top"/>
    </xf>
    <xf numFmtId="49" fontId="20" fillId="9" borderId="27" xfId="0" applyFont="1" applyFill="1" applyBorder="1">
      <alignment vertical="top"/>
    </xf>
    <xf numFmtId="49" fontId="20" fillId="12" borderId="27" xfId="0" applyFont="1" applyFill="1" applyBorder="1">
      <alignment vertical="top"/>
    </xf>
    <xf numFmtId="14" fontId="5" fillId="13" borderId="27" xfId="0" applyNumberFormat="1" applyFont="1" applyFill="1" applyBorder="1">
      <alignment vertical="top"/>
    </xf>
    <xf numFmtId="49" fontId="5" fillId="13" borderId="0" xfId="0" applyNumberFormat="1" applyFont="1" applyFill="1">
      <alignment vertical="top"/>
    </xf>
    <xf numFmtId="49" fontId="27" fillId="0" borderId="3" xfId="0" applyFont="1" applyBorder="1">
      <alignment vertical="top"/>
    </xf>
    <xf numFmtId="49" fontId="5" fillId="13" borderId="14" xfId="0" applyNumberFormat="1" applyFont="1" applyFill="1" applyBorder="1">
      <alignment vertical="top"/>
    </xf>
    <xf numFmtId="170" fontId="0" fillId="12" borderId="5" xfId="0" applyNumberFormat="1" applyFont="1" applyFill="1" applyBorder="1">
      <alignment vertical="top"/>
    </xf>
    <xf numFmtId="170" fontId="0" fillId="0" borderId="2" xfId="0" applyNumberFormat="1" applyFont="1" applyBorder="1">
      <alignment vertical="top"/>
    </xf>
    <xf numFmtId="49" fontId="5" fillId="8" borderId="17" xfId="0" applyNumberFormat="1" applyFont="1" applyFill="1" applyBorder="1">
      <alignment vertical="top"/>
    </xf>
    <xf numFmtId="49" fontId="5" fillId="13" borderId="27" xfId="0" applyFont="1" applyFill="1" applyBorder="1">
      <alignment vertical="top"/>
    </xf>
    <xf numFmtId="49" fontId="5" fillId="8" borderId="5" xfId="0" applyFont="1" applyFill="1" applyBorder="1">
      <alignment vertical="top"/>
    </xf>
    <xf numFmtId="49" fontId="25" fillId="0" borderId="4" xfId="0" applyFont="1" applyBorder="1">
      <alignment vertical="top"/>
    </xf>
    <xf numFmtId="49" fontId="0" fillId="11" borderId="0" xfId="0" applyFill="1">
      <alignment vertical="top"/>
    </xf>
    <xf numFmtId="49" fontId="103" fillId="12" borderId="3" xfId="0" applyNumberFormat="1" applyFont="1" applyFill="1" applyBorder="1">
      <alignment vertical="top"/>
    </xf>
    <xf numFmtId="49" fontId="17" fillId="0" borderId="15" xfId="0" applyFont="1" applyBorder="1">
      <alignment vertical="top"/>
    </xf>
    <xf numFmtId="49" fontId="104" fillId="0" borderId="0" xfId="0" applyNumberFormat="1" applyFont="1">
      <alignment vertical="top"/>
    </xf>
    <xf numFmtId="49" fontId="0" fillId="7" borderId="27" xfId="0" applyFill="1" applyBorder="1">
      <alignment vertical="top"/>
    </xf>
    <xf numFmtId="49" fontId="0" fillId="0" borderId="27" xfId="0" applyBorder="1">
      <alignment vertical="top"/>
    </xf>
    <xf numFmtId="49" fontId="0" fillId="12" borderId="8" xfId="0" applyNumberFormat="1" applyFont="1" applyFill="1" applyBorder="1">
      <alignment vertical="top"/>
    </xf>
    <xf numFmtId="49" fontId="0" fillId="12" borderId="14" xfId="0" applyNumberFormat="1" applyFont="1" applyFill="1" applyBorder="1">
      <alignment vertical="top"/>
    </xf>
    <xf numFmtId="49" fontId="104" fillId="0" borderId="27" xfId="0" applyNumberFormat="1" applyFont="1" applyBorder="1">
      <alignment vertical="top"/>
    </xf>
    <xf numFmtId="49" fontId="0" fillId="0" borderId="10" xfId="0" applyBorder="1">
      <alignment vertical="top"/>
    </xf>
    <xf numFmtId="49" fontId="0" fillId="0" borderId="13" xfId="0" applyBorder="1">
      <alignment vertical="top"/>
    </xf>
    <xf numFmtId="49" fontId="0" fillId="10" borderId="6" xfId="0" applyFont="1" applyFill="1" applyBorder="1">
      <alignment vertical="top"/>
    </xf>
    <xf numFmtId="49" fontId="0" fillId="0" borderId="27" xfId="0" applyNumberFormat="1" applyFont="1" applyBorder="1">
      <alignment vertical="top"/>
    </xf>
    <xf numFmtId="49" fontId="0" fillId="13" borderId="27" xfId="0" applyNumberFormat="1" applyFont="1" applyFill="1" applyBorder="1">
      <alignment vertical="top"/>
    </xf>
    <xf numFmtId="49" fontId="17" fillId="0" borderId="27" xfId="0" applyNumberFormat="1" applyFont="1" applyBorder="1">
      <alignment vertical="top"/>
    </xf>
    <xf numFmtId="49" fontId="5" fillId="8" borderId="14" xfId="0" applyFont="1" applyFill="1" applyBorder="1">
      <alignment vertical="top"/>
    </xf>
    <xf numFmtId="4" fontId="0" fillId="12" borderId="4" xfId="0" applyNumberFormat="1" applyFont="1" applyFill="1" applyBorder="1">
      <alignment vertical="top"/>
    </xf>
    <xf numFmtId="49" fontId="0" fillId="8" borderId="8" xfId="0" applyNumberFormat="1" applyFont="1" applyFill="1" applyBorder="1">
      <alignment vertical="top"/>
    </xf>
    <xf numFmtId="49" fontId="25" fillId="27" borderId="0" xfId="0" applyNumberFormat="1" applyFont="1" applyFill="1">
      <alignment vertical="top"/>
    </xf>
    <xf numFmtId="49" fontId="0" fillId="0" borderId="27" xfId="0" applyFont="1" applyBorder="1">
      <alignment vertical="top"/>
    </xf>
    <xf numFmtId="49" fontId="105" fillId="0" borderId="3" xfId="0" applyNumberFormat="1" applyFont="1" applyBorder="1">
      <alignment vertical="top"/>
    </xf>
    <xf numFmtId="49" fontId="5" fillId="7" borderId="3" xfId="0" applyFont="1" applyFill="1" applyBorder="1">
      <alignment vertical="top"/>
    </xf>
    <xf numFmtId="49" fontId="34" fillId="9" borderId="14" xfId="0" applyNumberFormat="1" applyFont="1" applyFill="1" applyBorder="1">
      <alignment vertical="top"/>
    </xf>
    <xf numFmtId="14" fontId="5" fillId="0" borderId="14" xfId="0" applyNumberFormat="1" applyFont="1" applyBorder="1">
      <alignment vertical="top"/>
    </xf>
    <xf numFmtId="49" fontId="5" fillId="8" borderId="27" xfId="0" applyFont="1" applyFill="1" applyBorder="1">
      <alignment vertical="top"/>
    </xf>
    <xf numFmtId="171" fontId="25" fillId="0" borderId="10" xfId="0" applyNumberFormat="1" applyFont="1" applyBorder="1">
      <alignment vertical="top"/>
    </xf>
    <xf numFmtId="171" fontId="25" fillId="0" borderId="11" xfId="0" applyNumberFormat="1" applyFont="1" applyBorder="1">
      <alignment vertical="top"/>
    </xf>
    <xf numFmtId="172" fontId="5" fillId="12" borderId="3" xfId="0" applyNumberFormat="1" applyFont="1" applyFill="1" applyBorder="1">
      <alignment vertical="top"/>
    </xf>
    <xf numFmtId="170" fontId="0" fillId="12" borderId="6" xfId="0" applyNumberFormat="1" applyFont="1" applyFill="1" applyBorder="1">
      <alignment vertical="top"/>
    </xf>
    <xf numFmtId="49" fontId="5" fillId="12" borderId="18" xfId="0" applyNumberFormat="1" applyFont="1" applyFill="1" applyBorder="1">
      <alignment vertical="top"/>
    </xf>
    <xf numFmtId="49" fontId="5" fillId="12" borderId="21" xfId="0" applyNumberFormat="1" applyFont="1" applyFill="1" applyBorder="1">
      <alignment vertical="top"/>
    </xf>
    <xf numFmtId="49" fontId="34" fillId="10" borderId="20" xfId="0" applyNumberFormat="1" applyFont="1" applyFill="1" applyBorder="1">
      <alignment vertical="top"/>
    </xf>
    <xf numFmtId="49" fontId="5" fillId="8" borderId="13" xfId="0" applyFont="1" applyFill="1" applyBorder="1">
      <alignment vertical="top"/>
    </xf>
    <xf numFmtId="0" fontId="16" fillId="0" borderId="0" xfId="13" applyNumberFormat="1" applyFont="1">
      <alignment vertical="top"/>
    </xf>
    <xf numFmtId="0" fontId="16" fillId="0" borderId="3" xfId="13" applyNumberFormat="1" applyFont="1" applyBorder="1">
      <alignment vertical="top"/>
    </xf>
    <xf numFmtId="49" fontId="5" fillId="7" borderId="6" xfId="0" applyFont="1" applyFill="1" applyBorder="1">
      <alignment vertical="top"/>
    </xf>
    <xf numFmtId="49" fontId="17" fillId="0" borderId="18" xfId="0" applyFont="1" applyBorder="1">
      <alignment vertical="top"/>
    </xf>
    <xf numFmtId="49" fontId="5" fillId="9" borderId="8" xfId="0" applyNumberFormat="1" applyFont="1" applyFill="1" applyBorder="1">
      <alignment vertical="top"/>
    </xf>
    <xf numFmtId="49" fontId="5" fillId="8" borderId="20" xfId="0" applyFont="1" applyFill="1" applyBorder="1">
      <alignment vertical="top"/>
    </xf>
    <xf numFmtId="49" fontId="5" fillId="8" borderId="3" xfId="11" applyNumberFormat="1" applyFont="1" applyFill="1" applyBorder="1">
      <alignment vertical="top"/>
    </xf>
    <xf numFmtId="14" fontId="5" fillId="12" borderId="5" xfId="0" applyNumberFormat="1" applyFont="1" applyFill="1" applyBorder="1">
      <alignment vertical="top"/>
    </xf>
    <xf numFmtId="49" fontId="27" fillId="0" borderId="27" xfId="0" applyFont="1" applyBorder="1">
      <alignment vertical="top"/>
    </xf>
    <xf numFmtId="49" fontId="86" fillId="10" borderId="33" xfId="0" applyNumberFormat="1" applyFont="1" applyFill="1" applyBorder="1">
      <alignment vertical="top"/>
    </xf>
    <xf numFmtId="14" fontId="5" fillId="13" borderId="13" xfId="0" applyNumberFormat="1" applyFont="1" applyFill="1" applyBorder="1">
      <alignment vertical="top"/>
    </xf>
    <xf numFmtId="49" fontId="28" fillId="0" borderId="4" xfId="0" applyFont="1" applyBorder="1">
      <alignment vertical="top"/>
    </xf>
    <xf numFmtId="49" fontId="5" fillId="13" borderId="14" xfId="0" applyFont="1" applyFill="1" applyBorder="1">
      <alignment vertical="top"/>
    </xf>
    <xf numFmtId="4" fontId="5" fillId="9" borderId="14" xfId="0" applyNumberFormat="1" applyFont="1" applyFill="1" applyBorder="1">
      <alignment vertical="top"/>
    </xf>
    <xf numFmtId="168" fontId="5" fillId="9" borderId="14" xfId="0" applyNumberFormat="1" applyFont="1" applyFill="1" applyBorder="1">
      <alignment vertical="top"/>
    </xf>
    <xf numFmtId="49" fontId="75" fillId="0" borderId="34" xfId="0" applyNumberFormat="1" applyFont="1" applyBorder="1">
      <alignment vertical="top"/>
    </xf>
    <xf numFmtId="49" fontId="75" fillId="0" borderId="5" xfId="0" applyNumberFormat="1" applyFont="1" applyBorder="1">
      <alignment vertical="top"/>
    </xf>
    <xf numFmtId="49" fontId="75" fillId="0" borderId="6" xfId="0" applyNumberFormat="1" applyFont="1" applyBorder="1">
      <alignment vertical="top"/>
    </xf>
    <xf numFmtId="49" fontId="75" fillId="0" borderId="4" xfId="0" applyNumberFormat="1" applyFont="1" applyBorder="1">
      <alignment vertical="top"/>
    </xf>
    <xf numFmtId="49" fontId="106" fillId="0" borderId="0" xfId="0" applyNumberFormat="1" applyFont="1">
      <alignment vertical="top"/>
    </xf>
    <xf numFmtId="49" fontId="75" fillId="0" borderId="3" xfId="0" applyFont="1" applyBorder="1">
      <alignment vertical="top"/>
    </xf>
    <xf numFmtId="4" fontId="27" fillId="0" borderId="22" xfId="0" applyNumberFormat="1" applyFont="1" applyBorder="1">
      <alignment vertical="top"/>
    </xf>
    <xf numFmtId="49" fontId="27" fillId="0" borderId="6" xfId="0" applyNumberFormat="1" applyFont="1" applyBorder="1">
      <alignment vertical="top"/>
    </xf>
    <xf numFmtId="49" fontId="75" fillId="0" borderId="43" xfId="0" applyNumberFormat="1" applyFont="1" applyBorder="1">
      <alignment vertical="top"/>
    </xf>
    <xf numFmtId="49" fontId="107" fillId="0" borderId="3" xfId="0" applyNumberFormat="1" applyFont="1" applyBorder="1">
      <alignment vertical="top"/>
    </xf>
    <xf numFmtId="49" fontId="107" fillId="0" borderId="8" xfId="0" applyNumberFormat="1" applyFont="1" applyBorder="1">
      <alignment vertical="top"/>
    </xf>
    <xf numFmtId="0" fontId="5" fillId="27" borderId="3" xfId="12" applyFont="1" applyFill="1" applyBorder="1"/>
    <xf numFmtId="49" fontId="27" fillId="28" borderId="3" xfId="0" applyFont="1" applyFill="1" applyBorder="1">
      <alignment vertical="top"/>
    </xf>
    <xf numFmtId="49" fontId="0" fillId="4" borderId="3" xfId="0" applyNumberFormat="1" applyFont="1" applyFill="1" applyBorder="1">
      <alignment vertical="top"/>
    </xf>
    <xf numFmtId="4" fontId="5" fillId="12" borderId="28" xfId="0" applyNumberFormat="1" applyFont="1" applyFill="1" applyBorder="1">
      <alignment vertical="top"/>
    </xf>
    <xf numFmtId="49" fontId="27" fillId="10" borderId="6" xfId="0" applyFont="1" applyFill="1" applyBorder="1">
      <alignment vertical="top"/>
    </xf>
    <xf numFmtId="49" fontId="109" fillId="0" borderId="3" xfId="13" applyBorder="1">
      <alignment vertical="top"/>
    </xf>
    <xf numFmtId="49" fontId="109" fillId="0" borderId="5" xfId="13" applyBorder="1">
      <alignment vertical="top"/>
    </xf>
    <xf numFmtId="49" fontId="109" fillId="16" borderId="8" xfId="13" applyFill="1" applyBorder="1">
      <alignment vertical="top"/>
    </xf>
    <xf numFmtId="49" fontId="109" fillId="17" borderId="3" xfId="13" applyFill="1" applyBorder="1">
      <alignment vertical="top"/>
    </xf>
    <xf numFmtId="49" fontId="0" fillId="0" borderId="6" xfId="13" applyNumberFormat="1" applyFont="1" applyBorder="1">
      <alignment vertical="top"/>
    </xf>
    <xf numFmtId="49" fontId="109" fillId="2" borderId="3" xfId="13" applyFill="1" applyBorder="1">
      <alignment vertical="top"/>
    </xf>
    <xf numFmtId="49" fontId="109" fillId="18" borderId="3" xfId="13" applyFill="1" applyBorder="1">
      <alignment vertical="top"/>
    </xf>
    <xf numFmtId="49" fontId="109" fillId="5" borderId="8" xfId="13" applyFill="1" applyBorder="1">
      <alignment vertical="top"/>
    </xf>
    <xf numFmtId="49" fontId="109" fillId="3" borderId="5" xfId="13" applyFill="1" applyBorder="1">
      <alignment vertical="top"/>
    </xf>
    <xf numFmtId="49" fontId="109" fillId="3" borderId="3" xfId="13" applyFill="1" applyBorder="1">
      <alignment vertical="top"/>
    </xf>
    <xf numFmtId="49" fontId="109" fillId="5" borderId="3" xfId="13" applyFill="1" applyBorder="1">
      <alignment vertical="top"/>
    </xf>
    <xf numFmtId="49" fontId="26" fillId="19" borderId="58" xfId="0" applyFont="1" applyFill="1" applyBorder="1">
      <alignment vertical="top"/>
    </xf>
    <xf numFmtId="49" fontId="26" fillId="19" borderId="29" xfId="0" applyFont="1" applyFill="1" applyBorder="1">
      <alignment vertical="top"/>
    </xf>
    <xf numFmtId="49" fontId="26" fillId="19" borderId="0" xfId="0" applyFont="1" applyFill="1">
      <alignment vertical="top"/>
    </xf>
    <xf numFmtId="49" fontId="101" fillId="0" borderId="0" xfId="0" applyFont="1">
      <alignment vertical="top"/>
    </xf>
    <xf numFmtId="49" fontId="26" fillId="19" borderId="57" xfId="0" applyFont="1" applyFill="1" applyBorder="1">
      <alignment vertical="top"/>
    </xf>
    <xf numFmtId="49" fontId="26" fillId="19" borderId="53" xfId="0" applyFont="1" applyFill="1" applyBorder="1">
      <alignment vertical="top"/>
    </xf>
    <xf numFmtId="49" fontId="26" fillId="19" borderId="30" xfId="0" applyFont="1" applyFill="1" applyBorder="1">
      <alignment vertical="top"/>
    </xf>
    <xf numFmtId="49" fontId="47" fillId="0" borderId="0" xfId="0" applyFont="1">
      <alignment vertical="top"/>
    </xf>
    <xf numFmtId="49" fontId="83" fillId="0" borderId="0" xfId="0" applyFont="1">
      <alignment vertical="top"/>
    </xf>
    <xf numFmtId="49" fontId="26" fillId="29" borderId="54" xfId="0" applyFont="1" applyFill="1" applyBorder="1">
      <alignment vertical="top"/>
    </xf>
    <xf numFmtId="49" fontId="26" fillId="29" borderId="55" xfId="0" applyFont="1" applyFill="1" applyBorder="1">
      <alignment vertical="top"/>
    </xf>
    <xf numFmtId="49" fontId="26" fillId="29" borderId="56" xfId="0" applyFont="1" applyFill="1" applyBorder="1">
      <alignment vertical="top"/>
    </xf>
    <xf numFmtId="49" fontId="101" fillId="0" borderId="29" xfId="0" applyFont="1" applyBorder="1">
      <alignment vertical="top"/>
    </xf>
    <xf numFmtId="49" fontId="5" fillId="0" borderId="4" xfId="0" applyFont="1" applyBorder="1">
      <alignment vertical="top"/>
    </xf>
    <xf numFmtId="49" fontId="5" fillId="0" borderId="5" xfId="0" applyFont="1" applyBorder="1">
      <alignment vertical="top"/>
    </xf>
    <xf numFmtId="49" fontId="77" fillId="0" borderId="0" xfId="0" applyFont="1">
      <alignment vertical="top"/>
    </xf>
    <xf numFmtId="14" fontId="74" fillId="0" borderId="3" xfId="0" applyNumberFormat="1" applyFont="1" applyBorder="1">
      <alignment vertical="top"/>
    </xf>
    <xf numFmtId="49" fontId="5" fillId="0" borderId="0" xfId="0" applyFont="1">
      <alignment vertical="top"/>
    </xf>
    <xf numFmtId="49" fontId="5" fillId="0" borderId="6" xfId="0" applyFont="1" applyBorder="1">
      <alignment vertical="top"/>
    </xf>
    <xf numFmtId="4" fontId="5" fillId="0" borderId="3" xfId="0" applyNumberFormat="1" applyFont="1" applyBorder="1">
      <alignment vertical="top"/>
    </xf>
    <xf numFmtId="49" fontId="16" fillId="0" borderId="60" xfId="0" applyFont="1" applyBorder="1">
      <alignment vertical="top"/>
    </xf>
    <xf numFmtId="49" fontId="16" fillId="0" borderId="61" xfId="0" applyFont="1" applyBorder="1">
      <alignment vertical="top"/>
    </xf>
    <xf numFmtId="49" fontId="16" fillId="0" borderId="5" xfId="0" applyFont="1" applyBorder="1">
      <alignment vertical="top"/>
    </xf>
    <xf numFmtId="49" fontId="16" fillId="0" borderId="4" xfId="0" applyFont="1" applyBorder="1">
      <alignment vertical="top"/>
    </xf>
    <xf numFmtId="49" fontId="5" fillId="0" borderId="11" xfId="0" applyFont="1" applyBorder="1">
      <alignment vertical="top"/>
    </xf>
    <xf numFmtId="49" fontId="5" fillId="0" borderId="8" xfId="0" applyFont="1" applyBorder="1">
      <alignment vertical="top"/>
    </xf>
    <xf numFmtId="49" fontId="5" fillId="0" borderId="28" xfId="0" applyFont="1" applyBorder="1">
      <alignment vertical="top"/>
    </xf>
    <xf numFmtId="49" fontId="5" fillId="0" borderId="20" xfId="0" applyFont="1" applyBorder="1">
      <alignment vertical="top"/>
    </xf>
    <xf numFmtId="49" fontId="5" fillId="0" borderId="14" xfId="0" applyFont="1" applyBorder="1">
      <alignment vertical="top"/>
    </xf>
    <xf numFmtId="49" fontId="5" fillId="0" borderId="21" xfId="0" applyFont="1" applyBorder="1">
      <alignment vertical="top"/>
    </xf>
    <xf numFmtId="49" fontId="5" fillId="15" borderId="0" xfId="0" applyFont="1" applyFill="1">
      <alignment vertical="top"/>
    </xf>
    <xf numFmtId="49" fontId="5" fillId="0" borderId="3" xfId="0" applyFont="1" applyBorder="1">
      <alignment vertical="top"/>
    </xf>
    <xf numFmtId="49" fontId="56" fillId="0" borderId="28" xfId="0" applyFont="1" applyBorder="1">
      <alignment vertical="top"/>
    </xf>
    <xf numFmtId="49" fontId="56" fillId="0" borderId="10" xfId="0" applyFont="1" applyBorder="1">
      <alignment vertical="top"/>
    </xf>
    <xf numFmtId="49" fontId="0" fillId="0" borderId="0" xfId="0">
      <alignment vertical="top"/>
    </xf>
    <xf numFmtId="49" fontId="56" fillId="0" borderId="3" xfId="0" applyFont="1" applyBorder="1">
      <alignment vertical="top"/>
    </xf>
    <xf numFmtId="49" fontId="5" fillId="0" borderId="62" xfId="0" applyFont="1" applyBorder="1">
      <alignment vertical="top"/>
    </xf>
    <xf numFmtId="49" fontId="5" fillId="0" borderId="63" xfId="0" applyFont="1" applyBorder="1">
      <alignment vertical="top"/>
    </xf>
    <xf numFmtId="49" fontId="5" fillId="13" borderId="8" xfId="0" applyFont="1" applyFill="1" applyBorder="1">
      <alignment vertical="top"/>
    </xf>
    <xf numFmtId="49" fontId="5" fillId="13" borderId="14" xfId="0" applyFont="1" applyFill="1" applyBorder="1">
      <alignment vertical="top"/>
    </xf>
    <xf numFmtId="49" fontId="5" fillId="13" borderId="3" xfId="0" applyFont="1" applyFill="1" applyBorder="1">
      <alignment vertical="top"/>
    </xf>
    <xf numFmtId="49" fontId="5" fillId="13" borderId="27" xfId="0" applyFont="1" applyFill="1" applyBorder="1">
      <alignment vertical="top"/>
    </xf>
    <xf numFmtId="14" fontId="62" fillId="0" borderId="59" xfId="0" applyNumberFormat="1" applyFont="1" applyBorder="1">
      <alignment vertical="top"/>
    </xf>
    <xf numFmtId="49" fontId="5" fillId="0" borderId="59" xfId="0" applyFont="1" applyBorder="1">
      <alignment vertical="top"/>
    </xf>
    <xf numFmtId="14" fontId="62" fillId="0" borderId="8" xfId="0" applyNumberFormat="1" applyFont="1" applyBorder="1">
      <alignment vertical="top"/>
    </xf>
    <xf numFmtId="14" fontId="62" fillId="0" borderId="27" xfId="0" applyNumberFormat="1" applyFont="1" applyBorder="1">
      <alignment vertical="top"/>
    </xf>
    <xf numFmtId="49" fontId="16" fillId="0" borderId="15" xfId="0" applyFont="1" applyBorder="1">
      <alignment vertical="top"/>
    </xf>
    <xf numFmtId="49" fontId="16" fillId="0" borderId="0" xfId="0" applyFont="1">
      <alignment vertical="top"/>
    </xf>
    <xf numFmtId="49" fontId="0" fillId="0" borderId="10" xfId="0" applyBorder="1">
      <alignment vertical="top"/>
    </xf>
    <xf numFmtId="49" fontId="5" fillId="0" borderId="10" xfId="0" applyFont="1" applyBorder="1">
      <alignment vertical="top"/>
    </xf>
    <xf numFmtId="49" fontId="0" fillId="0" borderId="3" xfId="0" applyBorder="1">
      <alignment vertical="top"/>
    </xf>
    <xf numFmtId="49" fontId="0" fillId="0" borderId="28" xfId="0" applyBorder="1">
      <alignment vertical="top"/>
    </xf>
    <xf numFmtId="49" fontId="0" fillId="0" borderId="13" xfId="0" applyBorder="1">
      <alignment vertical="top"/>
    </xf>
    <xf numFmtId="49" fontId="0" fillId="0" borderId="0" xfId="0" quotePrefix="1">
      <alignment vertical="top"/>
    </xf>
    <xf numFmtId="49" fontId="0" fillId="0" borderId="8" xfId="0" applyBorder="1">
      <alignment vertical="top"/>
    </xf>
    <xf numFmtId="49" fontId="0" fillId="0" borderId="27" xfId="0" applyBorder="1">
      <alignment vertical="top"/>
    </xf>
    <xf numFmtId="49" fontId="0" fillId="0" borderId="14" xfId="0" applyBorder="1">
      <alignment vertical="top"/>
    </xf>
    <xf numFmtId="49" fontId="5" fillId="0" borderId="27" xfId="0" applyFont="1" applyBorder="1">
      <alignment vertical="top"/>
    </xf>
    <xf numFmtId="49" fontId="5" fillId="12" borderId="3" xfId="0" applyFont="1" applyFill="1" applyBorder="1">
      <alignment vertical="top"/>
    </xf>
    <xf numFmtId="49" fontId="0" fillId="12" borderId="3" xfId="0" applyFill="1" applyBorder="1">
      <alignment vertical="top"/>
    </xf>
    <xf numFmtId="49" fontId="28" fillId="8" borderId="18" xfId="0" applyFont="1" applyFill="1" applyBorder="1">
      <alignment vertical="top"/>
    </xf>
    <xf numFmtId="49" fontId="53" fillId="0" borderId="15" xfId="0" applyFont="1" applyBorder="1">
      <alignment vertical="top"/>
    </xf>
    <xf numFmtId="49" fontId="53" fillId="0" borderId="27" xfId="0" applyFont="1" applyBorder="1">
      <alignment vertical="top"/>
    </xf>
    <xf numFmtId="49" fontId="53" fillId="0" borderId="13" xfId="0" applyFont="1" applyBorder="1">
      <alignment vertical="top"/>
    </xf>
    <xf numFmtId="49" fontId="5" fillId="0" borderId="18" xfId="0" applyFont="1" applyBorder="1">
      <alignment vertical="top"/>
    </xf>
    <xf numFmtId="49" fontId="5" fillId="0" borderId="13" xfId="0" applyFont="1" applyBorder="1">
      <alignment vertical="top"/>
    </xf>
    <xf numFmtId="49" fontId="5" fillId="0" borderId="15" xfId="0" applyFont="1" applyBorder="1">
      <alignment vertical="top"/>
    </xf>
    <xf numFmtId="49" fontId="20" fillId="0" borderId="18" xfId="0" applyFont="1" applyBorder="1">
      <alignment vertical="top"/>
    </xf>
    <xf numFmtId="49" fontId="20" fillId="0" borderId="20" xfId="0" applyFont="1" applyBorder="1">
      <alignment vertical="top"/>
    </xf>
    <xf numFmtId="49" fontId="20" fillId="0" borderId="0" xfId="0" applyFont="1">
      <alignment vertical="top"/>
    </xf>
    <xf numFmtId="49" fontId="20" fillId="0" borderId="15" xfId="0" applyFont="1" applyBorder="1">
      <alignment vertical="top"/>
    </xf>
    <xf numFmtId="49" fontId="5" fillId="8" borderId="0" xfId="0" applyFont="1" applyFill="1">
      <alignment vertical="top"/>
    </xf>
    <xf numFmtId="49" fontId="25" fillId="0" borderId="0" xfId="0" applyFont="1">
      <alignment vertical="top"/>
    </xf>
    <xf numFmtId="49" fontId="0" fillId="8" borderId="3" xfId="0" applyFill="1" applyBorder="1">
      <alignment vertical="top"/>
    </xf>
    <xf numFmtId="49" fontId="5" fillId="8" borderId="3" xfId="0" applyFont="1" applyFill="1" applyBorder="1">
      <alignment vertical="top"/>
    </xf>
    <xf numFmtId="49" fontId="74" fillId="8" borderId="0" xfId="0" applyFont="1" applyFill="1">
      <alignment vertical="top"/>
    </xf>
    <xf numFmtId="49" fontId="5" fillId="8" borderId="8" xfId="0" applyFont="1" applyFill="1" applyBorder="1">
      <alignment vertical="top"/>
    </xf>
    <xf numFmtId="49" fontId="5" fillId="8" borderId="27" xfId="0" applyFont="1" applyFill="1" applyBorder="1">
      <alignment vertical="top"/>
    </xf>
    <xf numFmtId="49" fontId="5" fillId="8" borderId="14" xfId="0" applyFont="1" applyFill="1" applyBorder="1">
      <alignment vertical="top"/>
    </xf>
    <xf numFmtId="49" fontId="5" fillId="8" borderId="15" xfId="0" applyFont="1" applyFill="1" applyBorder="1">
      <alignment vertical="top"/>
    </xf>
    <xf numFmtId="49" fontId="0" fillId="0" borderId="5" xfId="0" applyBorder="1">
      <alignment vertical="top"/>
    </xf>
    <xf numFmtId="49" fontId="0" fillId="0" borderId="11" xfId="0" applyBorder="1">
      <alignment vertical="top"/>
    </xf>
    <xf numFmtId="49" fontId="0" fillId="0" borderId="20" xfId="0" applyBorder="1">
      <alignment vertical="top"/>
    </xf>
    <xf numFmtId="49" fontId="0" fillId="0" borderId="21" xfId="0" applyBorder="1">
      <alignment vertical="top"/>
    </xf>
    <xf numFmtId="49" fontId="27" fillId="0" borderId="0" xfId="0" applyFont="1">
      <alignment vertical="top"/>
    </xf>
    <xf numFmtId="49" fontId="0" fillId="0" borderId="6" xfId="0" applyBorder="1">
      <alignment vertical="top"/>
    </xf>
    <xf numFmtId="49" fontId="0" fillId="0" borderId="4" xfId="0" applyBorder="1">
      <alignment vertical="top"/>
    </xf>
    <xf numFmtId="49" fontId="5" fillId="13" borderId="10" xfId="0" applyFont="1" applyFill="1" applyBorder="1">
      <alignment vertical="top"/>
    </xf>
    <xf numFmtId="49" fontId="5" fillId="13" borderId="18" xfId="0" applyFont="1" applyFill="1" applyBorder="1">
      <alignment vertical="top"/>
    </xf>
    <xf numFmtId="49" fontId="5" fillId="13" borderId="5" xfId="0" applyFont="1" applyFill="1" applyBorder="1">
      <alignment vertical="top"/>
    </xf>
    <xf numFmtId="49" fontId="5" fillId="13" borderId="6" xfId="0" applyFont="1" applyFill="1" applyBorder="1">
      <alignment vertical="top"/>
    </xf>
    <xf numFmtId="49" fontId="5" fillId="13" borderId="4" xfId="0" applyFont="1" applyFill="1" applyBorder="1">
      <alignment vertical="top"/>
    </xf>
    <xf numFmtId="170" fontId="5" fillId="7" borderId="3" xfId="0" applyNumberFormat="1" applyFont="1" applyFill="1" applyBorder="1">
      <alignment vertical="top"/>
    </xf>
    <xf numFmtId="49" fontId="5" fillId="7" borderId="3" xfId="0" applyFont="1" applyFill="1" applyBorder="1">
      <alignment vertical="top"/>
    </xf>
    <xf numFmtId="49" fontId="5" fillId="7" borderId="5" xfId="0" applyFont="1" applyFill="1" applyBorder="1">
      <alignment vertical="top"/>
    </xf>
    <xf numFmtId="49" fontId="5" fillId="7" borderId="6" xfId="0" applyFont="1" applyFill="1" applyBorder="1">
      <alignment vertical="top"/>
    </xf>
    <xf numFmtId="49" fontId="5" fillId="7" borderId="4" xfId="0" applyFont="1" applyFill="1" applyBorder="1">
      <alignment vertical="top"/>
    </xf>
    <xf numFmtId="49" fontId="27" fillId="0" borderId="3" xfId="0" applyFont="1" applyBorder="1">
      <alignment vertical="top"/>
    </xf>
    <xf numFmtId="170" fontId="27" fillId="0" borderId="3" xfId="0" applyNumberFormat="1" applyFont="1" applyBorder="1">
      <alignment vertical="top"/>
    </xf>
    <xf numFmtId="49" fontId="27" fillId="0" borderId="5" xfId="0" applyFont="1" applyBorder="1">
      <alignment vertical="top"/>
    </xf>
    <xf numFmtId="49" fontId="28" fillId="0" borderId="0" xfId="0" applyFont="1">
      <alignment vertical="top"/>
    </xf>
    <xf numFmtId="170" fontId="0" fillId="12" borderId="3" xfId="0" applyNumberFormat="1" applyFill="1" applyBorder="1">
      <alignment vertical="top"/>
    </xf>
    <xf numFmtId="170" fontId="0" fillId="12" borderId="8" xfId="0" applyNumberFormat="1" applyFill="1" applyBorder="1">
      <alignment vertical="top"/>
    </xf>
    <xf numFmtId="49" fontId="0" fillId="12" borderId="14" xfId="0" applyFill="1" applyBorder="1">
      <alignment vertical="top"/>
    </xf>
    <xf numFmtId="49" fontId="27" fillId="0" borderId="8" xfId="0" applyFont="1" applyBorder="1">
      <alignment vertical="top"/>
    </xf>
    <xf numFmtId="49" fontId="27" fillId="0" borderId="14" xfId="0" applyFont="1" applyBorder="1">
      <alignment vertical="top"/>
    </xf>
    <xf numFmtId="49" fontId="61" fillId="8" borderId="10" xfId="0" applyFont="1" applyFill="1" applyBorder="1">
      <alignment vertical="top"/>
    </xf>
    <xf numFmtId="49" fontId="17" fillId="0" borderId="18" xfId="0" applyFont="1" applyBorder="1">
      <alignment vertical="top"/>
    </xf>
    <xf numFmtId="49" fontId="0" fillId="8" borderId="5" xfId="0" applyFill="1" applyBorder="1">
      <alignment vertical="top"/>
    </xf>
    <xf numFmtId="49" fontId="0" fillId="8" borderId="6" xfId="0" applyFill="1" applyBorder="1">
      <alignment vertical="top"/>
    </xf>
    <xf numFmtId="49" fontId="0" fillId="8" borderId="4" xfId="0" applyFill="1" applyBorder="1">
      <alignment vertical="top"/>
    </xf>
    <xf numFmtId="49" fontId="20" fillId="10" borderId="8" xfId="0" applyFont="1" applyFill="1" applyBorder="1">
      <alignment vertical="top"/>
    </xf>
    <xf numFmtId="49" fontId="20" fillId="10" borderId="27" xfId="0" applyFont="1" applyFill="1" applyBorder="1">
      <alignment vertical="top"/>
    </xf>
    <xf numFmtId="49" fontId="20" fillId="10" borderId="14" xfId="0" applyFont="1" applyFill="1" applyBorder="1">
      <alignment vertical="top"/>
    </xf>
    <xf numFmtId="49" fontId="25" fillId="0" borderId="8" xfId="0" applyFont="1" applyBorder="1">
      <alignment vertical="top"/>
    </xf>
    <xf numFmtId="49" fontId="25" fillId="0" borderId="27" xfId="0" applyFont="1" applyBorder="1">
      <alignment vertical="top"/>
    </xf>
    <xf numFmtId="49" fontId="25" fillId="0" borderId="14" xfId="0" applyFont="1" applyBorder="1">
      <alignment vertical="top"/>
    </xf>
    <xf numFmtId="49" fontId="28" fillId="0" borderId="8" xfId="0" applyFont="1" applyBorder="1">
      <alignment vertical="top"/>
    </xf>
    <xf numFmtId="49" fontId="28" fillId="0" borderId="14" xfId="0" applyFont="1" applyBorder="1">
      <alignment vertical="top"/>
    </xf>
    <xf numFmtId="49" fontId="0" fillId="8" borderId="10" xfId="0" applyFill="1" applyBorder="1">
      <alignment vertical="top"/>
    </xf>
    <xf numFmtId="49" fontId="28" fillId="0" borderId="5" xfId="0" applyFont="1" applyBorder="1">
      <alignment vertical="top"/>
    </xf>
    <xf numFmtId="49" fontId="28" fillId="0" borderId="6" xfId="0" applyFont="1" applyBorder="1">
      <alignment vertical="top"/>
    </xf>
    <xf numFmtId="49" fontId="28" fillId="0" borderId="4" xfId="0" applyFont="1" applyBorder="1">
      <alignment vertical="top"/>
    </xf>
    <xf numFmtId="170" fontId="0" fillId="12" borderId="14" xfId="0" applyNumberFormat="1" applyFill="1" applyBorder="1">
      <alignment vertical="top"/>
    </xf>
    <xf numFmtId="49" fontId="5" fillId="7" borderId="28" xfId="0" applyFont="1" applyFill="1" applyBorder="1">
      <alignment vertical="top"/>
    </xf>
    <xf numFmtId="49" fontId="5" fillId="7" borderId="10" xfId="0" applyFont="1" applyFill="1" applyBorder="1">
      <alignment vertical="top"/>
    </xf>
    <xf numFmtId="49" fontId="5" fillId="7" borderId="11" xfId="0" applyFont="1" applyFill="1" applyBorder="1">
      <alignment vertical="top"/>
    </xf>
    <xf numFmtId="49" fontId="28" fillId="0" borderId="3" xfId="0" applyFont="1" applyBorder="1">
      <alignment vertical="top"/>
    </xf>
    <xf numFmtId="49" fontId="5" fillId="13" borderId="11" xfId="0" applyFont="1" applyFill="1" applyBorder="1">
      <alignment vertical="top"/>
    </xf>
    <xf numFmtId="49" fontId="0" fillId="8" borderId="28" xfId="0" applyFill="1" applyBorder="1">
      <alignment vertical="top"/>
    </xf>
    <xf numFmtId="49" fontId="0" fillId="8" borderId="11" xfId="0" applyFill="1" applyBorder="1">
      <alignment vertical="top"/>
    </xf>
    <xf numFmtId="49" fontId="0" fillId="8" borderId="13" xfId="0" applyFill="1" applyBorder="1">
      <alignment vertical="top"/>
    </xf>
    <xf numFmtId="49" fontId="0" fillId="8" borderId="0" xfId="0" applyFill="1">
      <alignment vertical="top"/>
    </xf>
    <xf numFmtId="49" fontId="0" fillId="8" borderId="21" xfId="0" applyFill="1" applyBorder="1">
      <alignment vertical="top"/>
    </xf>
    <xf numFmtId="49" fontId="0" fillId="8" borderId="18" xfId="0" applyFill="1" applyBorder="1">
      <alignment vertical="top"/>
    </xf>
    <xf numFmtId="49" fontId="0" fillId="8" borderId="20" xfId="0" applyFill="1" applyBorder="1">
      <alignment vertical="top"/>
    </xf>
    <xf numFmtId="49" fontId="17" fillId="0" borderId="3" xfId="0" applyFont="1" applyBorder="1">
      <alignment vertical="top"/>
    </xf>
    <xf numFmtId="49" fontId="5" fillId="12" borderId="8" xfId="0" applyFont="1" applyFill="1" applyBorder="1">
      <alignment vertical="top"/>
    </xf>
    <xf numFmtId="49" fontId="5" fillId="12" borderId="27" xfId="0" applyFont="1" applyFill="1" applyBorder="1">
      <alignment vertical="top"/>
    </xf>
    <xf numFmtId="49" fontId="5" fillId="12" borderId="14" xfId="0" applyFont="1" applyFill="1" applyBorder="1">
      <alignment vertical="top"/>
    </xf>
    <xf numFmtId="49" fontId="28" fillId="0" borderId="15" xfId="0" applyFont="1" applyBorder="1">
      <alignment vertical="top"/>
    </xf>
    <xf numFmtId="49" fontId="0" fillId="8" borderId="15" xfId="0" applyFill="1" applyBorder="1">
      <alignment vertical="top"/>
    </xf>
    <xf numFmtId="49" fontId="5" fillId="8" borderId="28" xfId="0" applyFont="1" applyFill="1" applyBorder="1">
      <alignment vertical="top"/>
    </xf>
    <xf numFmtId="49" fontId="5" fillId="8" borderId="13" xfId="0" applyFont="1" applyFill="1" applyBorder="1">
      <alignment vertical="top"/>
    </xf>
    <xf numFmtId="49" fontId="5" fillId="8" borderId="21" xfId="0" applyFont="1" applyFill="1" applyBorder="1">
      <alignment vertical="top"/>
    </xf>
    <xf numFmtId="49" fontId="5" fillId="9" borderId="5" xfId="0" applyFont="1" applyFill="1" applyBorder="1">
      <alignment vertical="top"/>
    </xf>
    <xf numFmtId="49" fontId="5" fillId="9" borderId="6" xfId="0" applyFont="1" applyFill="1" applyBorder="1">
      <alignment vertical="top"/>
    </xf>
    <xf numFmtId="49" fontId="5" fillId="9" borderId="4" xfId="0" applyFont="1" applyFill="1" applyBorder="1">
      <alignment vertical="top"/>
    </xf>
    <xf numFmtId="49" fontId="25" fillId="0" borderId="3" xfId="0" applyFont="1" applyBorder="1">
      <alignment vertical="top"/>
    </xf>
    <xf numFmtId="49" fontId="5" fillId="12" borderId="4" xfId="0" applyFont="1" applyFill="1" applyBorder="1">
      <alignment vertical="top"/>
    </xf>
    <xf numFmtId="4" fontId="5" fillId="12" borderId="3" xfId="0" applyNumberFormat="1" applyFont="1" applyFill="1" applyBorder="1">
      <alignment vertical="top"/>
    </xf>
    <xf numFmtId="49" fontId="5" fillId="9" borderId="8" xfId="0" applyFont="1" applyFill="1" applyBorder="1">
      <alignment vertical="top"/>
    </xf>
    <xf numFmtId="49" fontId="5" fillId="9" borderId="27" xfId="0" applyFont="1" applyFill="1" applyBorder="1">
      <alignment vertical="top"/>
    </xf>
    <xf numFmtId="49" fontId="5" fillId="9" borderId="14" xfId="0" applyFont="1" applyFill="1" applyBorder="1">
      <alignment vertical="top"/>
    </xf>
    <xf numFmtId="49" fontId="5" fillId="13" borderId="20" xfId="0" applyFont="1" applyFill="1" applyBorder="1">
      <alignment vertical="top"/>
    </xf>
    <xf numFmtId="49" fontId="28" fillId="0" borderId="10" xfId="0" applyFont="1" applyBorder="1">
      <alignment vertical="top"/>
    </xf>
    <xf numFmtId="49" fontId="5" fillId="8" borderId="3" xfId="11" applyFill="1" applyBorder="1">
      <alignment vertical="top"/>
    </xf>
    <xf numFmtId="49" fontId="72" fillId="19" borderId="0" xfId="0" applyFont="1" applyFill="1">
      <alignment vertical="top"/>
    </xf>
    <xf numFmtId="49" fontId="53" fillId="0" borderId="0" xfId="0" applyFont="1">
      <alignment vertical="top"/>
    </xf>
    <xf numFmtId="49" fontId="28" fillId="0" borderId="27" xfId="0" applyFont="1" applyBorder="1">
      <alignment vertical="top"/>
    </xf>
    <xf numFmtId="49" fontId="0" fillId="7" borderId="3" xfId="0" applyFill="1" applyBorder="1">
      <alignment vertical="top"/>
    </xf>
    <xf numFmtId="49" fontId="5" fillId="8" borderId="5" xfId="0" applyFont="1" applyFill="1" applyBorder="1">
      <alignment vertical="top"/>
    </xf>
    <xf numFmtId="49" fontId="5" fillId="8" borderId="6" xfId="0" applyFont="1" applyFill="1" applyBorder="1">
      <alignment vertical="top"/>
    </xf>
    <xf numFmtId="49" fontId="5" fillId="8" borderId="11" xfId="0" applyFont="1" applyFill="1" applyBorder="1">
      <alignment vertical="top"/>
    </xf>
    <xf numFmtId="49" fontId="5" fillId="30" borderId="0" xfId="0" applyFont="1" applyFill="1">
      <alignment vertical="top"/>
    </xf>
    <xf numFmtId="49" fontId="5" fillId="8" borderId="20" xfId="0" applyFont="1" applyFill="1" applyBorder="1">
      <alignment vertical="top"/>
    </xf>
    <xf numFmtId="49" fontId="5" fillId="0" borderId="51" xfId="0" applyFont="1" applyBorder="1">
      <alignment vertical="top"/>
    </xf>
    <xf numFmtId="49" fontId="5" fillId="0" borderId="52" xfId="0" applyFont="1" applyBorder="1">
      <alignment vertical="top"/>
    </xf>
    <xf numFmtId="49" fontId="5" fillId="0" borderId="58" xfId="0" applyFont="1" applyBorder="1">
      <alignment vertical="top"/>
    </xf>
    <xf numFmtId="49" fontId="5" fillId="0" borderId="64" xfId="0" applyFont="1" applyBorder="1">
      <alignment vertical="top"/>
    </xf>
    <xf numFmtId="49" fontId="5" fillId="0" borderId="34" xfId="0" applyFont="1" applyBorder="1">
      <alignment vertical="top"/>
    </xf>
    <xf numFmtId="49" fontId="5" fillId="8" borderId="4" xfId="0" applyFont="1" applyFill="1" applyBorder="1">
      <alignment vertical="top"/>
    </xf>
    <xf numFmtId="49" fontId="5" fillId="14" borderId="3" xfId="0" applyFont="1" applyFill="1" applyBorder="1">
      <alignment vertical="top"/>
    </xf>
    <xf numFmtId="49" fontId="5" fillId="14" borderId="5" xfId="0" applyFont="1" applyFill="1" applyBorder="1">
      <alignment vertical="top"/>
    </xf>
    <xf numFmtId="49" fontId="5" fillId="24" borderId="5" xfId="0" applyFont="1" applyFill="1" applyBorder="1">
      <alignment vertical="top"/>
    </xf>
    <xf numFmtId="49" fontId="5" fillId="24" borderId="6" xfId="0" applyFont="1" applyFill="1" applyBorder="1">
      <alignment vertical="top"/>
    </xf>
    <xf numFmtId="49" fontId="5" fillId="14" borderId="10" xfId="0" applyFont="1" applyFill="1" applyBorder="1">
      <alignment vertical="top"/>
    </xf>
    <xf numFmtId="49" fontId="5" fillId="14" borderId="0" xfId="0" applyFont="1" applyFill="1">
      <alignment vertical="top"/>
    </xf>
    <xf numFmtId="49" fontId="5" fillId="14" borderId="18" xfId="0" applyFont="1" applyFill="1" applyBorder="1">
      <alignment vertical="top"/>
    </xf>
    <xf numFmtId="49" fontId="5" fillId="14" borderId="4" xfId="0" applyFont="1" applyFill="1" applyBorder="1">
      <alignment vertical="top"/>
    </xf>
    <xf numFmtId="49" fontId="5" fillId="22" borderId="5" xfId="0" applyFont="1" applyFill="1" applyBorder="1">
      <alignment vertical="top"/>
    </xf>
    <xf numFmtId="49" fontId="5" fillId="22" borderId="6" xfId="0" applyFont="1" applyFill="1" applyBorder="1">
      <alignment vertical="top"/>
    </xf>
    <xf numFmtId="49" fontId="5" fillId="22" borderId="4" xfId="0" applyFont="1" applyFill="1" applyBorder="1">
      <alignment vertical="top"/>
    </xf>
    <xf numFmtId="49" fontId="27" fillId="20" borderId="5" xfId="0" applyFont="1" applyFill="1" applyBorder="1">
      <alignment vertical="top"/>
    </xf>
    <xf numFmtId="49" fontId="27" fillId="20" borderId="6" xfId="0" applyFont="1" applyFill="1" applyBorder="1">
      <alignment vertical="top"/>
    </xf>
    <xf numFmtId="49" fontId="27" fillId="20" borderId="4" xfId="0" applyFont="1" applyFill="1" applyBorder="1">
      <alignment vertical="top"/>
    </xf>
    <xf numFmtId="49" fontId="27" fillId="23" borderId="5" xfId="0" applyFont="1" applyFill="1" applyBorder="1">
      <alignment vertical="top"/>
    </xf>
    <xf numFmtId="49" fontId="27" fillId="23" borderId="6" xfId="0" applyFont="1" applyFill="1" applyBorder="1">
      <alignment vertical="top"/>
    </xf>
    <xf numFmtId="49" fontId="27" fillId="23" borderId="4" xfId="0" applyFont="1" applyFill="1" applyBorder="1">
      <alignment vertical="top"/>
    </xf>
    <xf numFmtId="49" fontId="19" fillId="8" borderId="15" xfId="0" applyFont="1" applyFill="1" applyBorder="1">
      <alignment vertical="top"/>
    </xf>
    <xf numFmtId="49" fontId="19" fillId="8" borderId="0" xfId="0" applyFont="1" applyFill="1">
      <alignment vertical="top"/>
    </xf>
    <xf numFmtId="49" fontId="16" fillId="8" borderId="10" xfId="0" applyFont="1" applyFill="1" applyBorder="1">
      <alignment vertical="top"/>
    </xf>
    <xf numFmtId="49" fontId="0" fillId="7" borderId="5" xfId="0" applyFill="1" applyBorder="1">
      <alignment vertical="top"/>
    </xf>
    <xf numFmtId="49" fontId="0" fillId="8" borderId="14" xfId="0" applyFill="1" applyBorder="1">
      <alignment vertical="top"/>
    </xf>
    <xf numFmtId="49" fontId="0" fillId="7" borderId="14" xfId="0" applyFill="1" applyBorder="1">
      <alignment vertical="top"/>
    </xf>
    <xf numFmtId="49" fontId="0" fillId="8" borderId="8" xfId="0" applyFill="1" applyBorder="1">
      <alignment vertical="top"/>
    </xf>
    <xf numFmtId="49" fontId="0" fillId="8" borderId="27" xfId="0" applyFill="1" applyBorder="1">
      <alignment vertical="top"/>
    </xf>
    <xf numFmtId="4" fontId="5" fillId="0" borderId="8" xfId="0" applyNumberFormat="1" applyFont="1" applyBorder="1">
      <alignment vertical="top"/>
    </xf>
    <xf numFmtId="4" fontId="5" fillId="0" borderId="14" xfId="0" applyNumberFormat="1" applyFont="1" applyBorder="1">
      <alignment vertical="top"/>
    </xf>
    <xf numFmtId="4" fontId="5" fillId="0" borderId="27" xfId="0" applyNumberFormat="1" applyFont="1" applyBorder="1">
      <alignment vertical="top"/>
    </xf>
    <xf numFmtId="171" fontId="5" fillId="0" borderId="8" xfId="0" applyNumberFormat="1" applyFont="1" applyBorder="1">
      <alignment vertical="top"/>
    </xf>
    <xf numFmtId="171" fontId="5" fillId="0" borderId="14" xfId="0" applyNumberFormat="1" applyFont="1" applyBorder="1">
      <alignment vertical="top"/>
    </xf>
    <xf numFmtId="171" fontId="5" fillId="0" borderId="5" xfId="0" applyNumberFormat="1" applyFont="1" applyBorder="1">
      <alignment vertical="top"/>
    </xf>
    <xf numFmtId="171" fontId="5" fillId="0" borderId="6" xfId="0" applyNumberFormat="1" applyFont="1" applyBorder="1">
      <alignment vertical="top"/>
    </xf>
    <xf numFmtId="171" fontId="5" fillId="0" borderId="4" xfId="0" applyNumberFormat="1" applyFont="1" applyBorder="1">
      <alignment vertical="top"/>
    </xf>
    <xf numFmtId="49" fontId="108" fillId="0" borderId="3" xfId="0" applyFont="1" applyBorder="1">
      <alignment vertical="top"/>
    </xf>
    <xf numFmtId="171" fontId="5" fillId="0" borderId="27" xfId="0" applyNumberFormat="1" applyFont="1" applyBorder="1">
      <alignment vertical="top"/>
    </xf>
    <xf numFmtId="171" fontId="5" fillId="0" borderId="3" xfId="0" applyNumberFormat="1" applyFont="1" applyBorder="1">
      <alignment vertical="top"/>
    </xf>
    <xf numFmtId="171" fontId="25" fillId="0" borderId="10" xfId="0" applyNumberFormat="1" applyFont="1" applyBorder="1">
      <alignment vertical="top"/>
    </xf>
    <xf numFmtId="49" fontId="5" fillId="13" borderId="21" xfId="0" applyFont="1" applyFill="1" applyBorder="1">
      <alignment vertical="top"/>
    </xf>
    <xf numFmtId="14" fontId="5" fillId="13" borderId="3" xfId="0" applyNumberFormat="1" applyFont="1" applyFill="1" applyBorder="1">
      <alignment vertical="top"/>
    </xf>
    <xf numFmtId="49" fontId="5" fillId="7" borderId="20" xfId="0" applyFont="1" applyFill="1" applyBorder="1">
      <alignment vertical="top"/>
    </xf>
    <xf numFmtId="14" fontId="5" fillId="13" borderId="14" xfId="0" applyNumberFormat="1" applyFont="1" applyFill="1" applyBorder="1">
      <alignment vertical="top"/>
    </xf>
    <xf numFmtId="170" fontId="0" fillId="9" borderId="3" xfId="0" applyNumberFormat="1" applyFill="1" applyBorder="1">
      <alignment vertical="top"/>
    </xf>
    <xf numFmtId="49" fontId="0" fillId="9" borderId="3" xfId="0" applyFill="1" applyBorder="1">
      <alignment vertical="top"/>
    </xf>
    <xf numFmtId="49" fontId="27" fillId="0" borderId="27" xfId="0" applyFont="1" applyBorder="1">
      <alignment vertical="top"/>
    </xf>
    <xf numFmtId="49" fontId="104" fillId="0" borderId="3" xfId="0" applyFont="1" applyBorder="1">
      <alignment vertical="top"/>
    </xf>
    <xf numFmtId="49" fontId="5" fillId="9" borderId="3" xfId="0" applyFont="1" applyFill="1" applyBorder="1">
      <alignment vertical="top"/>
    </xf>
    <xf numFmtId="49" fontId="0" fillId="13" borderId="3" xfId="0" applyFill="1" applyBorder="1">
      <alignment vertical="top"/>
    </xf>
    <xf numFmtId="49" fontId="0" fillId="12" borderId="5" xfId="0" applyFill="1" applyBorder="1">
      <alignment vertical="top"/>
    </xf>
    <xf numFmtId="49" fontId="17" fillId="0" borderId="8" xfId="0" applyFont="1" applyBorder="1">
      <alignment vertical="top"/>
    </xf>
    <xf numFmtId="49" fontId="5" fillId="12" borderId="5" xfId="0" applyFont="1" applyFill="1" applyBorder="1">
      <alignment vertical="top"/>
    </xf>
    <xf numFmtId="49" fontId="16" fillId="0" borderId="3" xfId="0" applyFont="1" applyBorder="1">
      <alignment vertical="top"/>
    </xf>
    <xf numFmtId="49" fontId="20" fillId="10" borderId="42" xfId="0" applyFont="1" applyFill="1" applyBorder="1">
      <alignment vertical="top"/>
    </xf>
    <xf numFmtId="49" fontId="5" fillId="7" borderId="65" xfId="0" applyFont="1" applyFill="1" applyBorder="1">
      <alignment vertical="top"/>
    </xf>
    <xf numFmtId="3" fontId="27" fillId="0" borderId="3" xfId="0" applyNumberFormat="1" applyFont="1" applyBorder="1">
      <alignment vertical="top"/>
    </xf>
    <xf numFmtId="49" fontId="27" fillId="0" borderId="4" xfId="0" applyFont="1" applyBorder="1">
      <alignment vertical="top"/>
    </xf>
    <xf numFmtId="49" fontId="106" fillId="0" borderId="4" xfId="0" applyFont="1" applyBorder="1">
      <alignment vertical="top"/>
    </xf>
    <xf numFmtId="49" fontId="75" fillId="0" borderId="3" xfId="0" applyFont="1" applyBorder="1">
      <alignment vertical="top"/>
    </xf>
    <xf numFmtId="49" fontId="20" fillId="10" borderId="6" xfId="0" applyFont="1" applyFill="1" applyBorder="1">
      <alignment vertical="top"/>
    </xf>
    <xf numFmtId="49" fontId="20" fillId="10" borderId="4" xfId="0" applyFont="1" applyFill="1" applyBorder="1">
      <alignment vertical="top"/>
    </xf>
    <xf numFmtId="49" fontId="20" fillId="10" borderId="10" xfId="0" applyFont="1" applyFill="1" applyBorder="1">
      <alignment vertical="top"/>
    </xf>
    <xf numFmtId="49" fontId="20" fillId="10" borderId="11" xfId="0" applyFont="1" applyFill="1" applyBorder="1">
      <alignment vertical="top"/>
    </xf>
    <xf numFmtId="3" fontId="5" fillId="12" borderId="3" xfId="0" applyNumberFormat="1" applyFont="1" applyFill="1" applyBorder="1">
      <alignment vertical="top"/>
    </xf>
    <xf numFmtId="49" fontId="25" fillId="0" borderId="4" xfId="0" applyFont="1" applyBorder="1">
      <alignment vertical="top"/>
    </xf>
    <xf numFmtId="49" fontId="76" fillId="0" borderId="3" xfId="0" applyFont="1" applyBorder="1">
      <alignment vertical="top"/>
    </xf>
    <xf numFmtId="49" fontId="76" fillId="14" borderId="3" xfId="0" applyFont="1" applyFill="1" applyBorder="1">
      <alignment vertical="top"/>
    </xf>
    <xf numFmtId="49" fontId="76" fillId="0" borderId="28" xfId="0" applyFont="1" applyBorder="1">
      <alignment vertical="top"/>
    </xf>
    <xf numFmtId="49" fontId="76" fillId="0" borderId="21" xfId="0" applyFont="1" applyBorder="1">
      <alignment vertical="top"/>
    </xf>
    <xf numFmtId="49" fontId="76" fillId="0" borderId="5" xfId="0" applyFont="1" applyBorder="1">
      <alignment vertical="top"/>
    </xf>
    <xf numFmtId="49" fontId="76" fillId="0" borderId="6" xfId="0" applyFont="1" applyBorder="1">
      <alignment vertical="top"/>
    </xf>
    <xf numFmtId="49" fontId="76" fillId="0" borderId="4" xfId="0" applyFont="1" applyBorder="1">
      <alignment vertical="top"/>
    </xf>
    <xf numFmtId="49" fontId="76" fillId="0" borderId="8" xfId="0" applyFont="1" applyBorder="1">
      <alignment vertical="top"/>
    </xf>
    <xf numFmtId="49" fontId="76" fillId="0" borderId="27" xfId="0" applyFont="1" applyBorder="1">
      <alignment vertical="top"/>
    </xf>
    <xf numFmtId="49" fontId="76" fillId="0" borderId="14" xfId="0" applyFont="1" applyBorder="1">
      <alignment vertical="top"/>
    </xf>
    <xf numFmtId="4" fontId="5" fillId="7" borderId="3" xfId="0" applyNumberFormat="1" applyFont="1" applyFill="1" applyBorder="1">
      <alignment vertical="top"/>
    </xf>
    <xf numFmtId="49" fontId="26" fillId="0" borderId="10" xfId="0" applyFont="1" applyBorder="1">
      <alignment vertical="top"/>
    </xf>
    <xf numFmtId="49" fontId="26" fillId="0" borderId="18" xfId="0" applyFont="1" applyBorder="1">
      <alignment vertical="top"/>
    </xf>
    <xf numFmtId="49" fontId="0" fillId="0" borderId="3" xfId="13" applyFont="1" applyBorder="1">
      <alignment vertical="top"/>
    </xf>
    <xf numFmtId="49" fontId="0" fillId="0" borderId="5" xfId="13" applyFont="1" applyBorder="1">
      <alignment vertical="top"/>
    </xf>
    <xf numFmtId="49" fontId="56" fillId="31" borderId="3" xfId="0" applyNumberFormat="1" applyFont="1" applyFill="1" applyBorder="1">
      <alignment vertical="top"/>
    </xf>
  </cellXfs>
  <cellStyles count="31">
    <cellStyle name=" 1" xfId="2" xr:uid="{00000000-0005-0000-0000-000030000000}"/>
    <cellStyle name=" 1 2" xfId="3" xr:uid="{00000000-0005-0000-0000-000031000000}"/>
    <cellStyle name=" 1_Stage1" xfId="2" xr:uid="{00000000-0005-0000-0000-000032000000}"/>
    <cellStyle name="_Model_RAB Мой_PR.PROG.WARM.NOTCOMBI.2012.2.16_v1.4(04.04.11) " xfId="4" xr:uid="{00000000-0005-0000-0000-000033000000}"/>
    <cellStyle name="_Model_RAB Мой_Книга2_PR.PROG.WARM.NOTCOMBI.2012.2.16_v1.4(04.04.11) " xfId="4" xr:uid="{00000000-0005-0000-0000-000034000000}"/>
    <cellStyle name="_Model_RAB_MRSK_svod_PR.PROG.WARM.NOTCOMBI.2012.2.16_v1.4(04.04.11) " xfId="4" xr:uid="{00000000-0005-0000-0000-000035000000}"/>
    <cellStyle name="_Model_RAB_MRSK_svod_Книга2_PR.PROG.WARM.NOTCOMBI.2012.2.16_v1.4(04.04.11) " xfId="4" xr:uid="{00000000-0005-0000-0000-000036000000}"/>
    <cellStyle name="_МОДЕЛЬ_1 (2)_PR.PROG.WARM.NOTCOMBI.2012.2.16_v1.4(04.04.11) " xfId="4" xr:uid="{00000000-0005-0000-0000-000037000000}"/>
    <cellStyle name="_МОДЕЛЬ_1 (2)_Книга2_PR.PROG.WARM.NOTCOMBI.2012.2.16_v1.4(04.04.11) " xfId="4" xr:uid="{00000000-0005-0000-0000-000038000000}"/>
    <cellStyle name="_пр 5 тариф RAB_PR.PROG.WARM.NOTCOMBI.2012.2.16_v1.4(04.04.11) " xfId="4" xr:uid="{00000000-0005-0000-0000-000039000000}"/>
    <cellStyle name="_пр 5 тариф RAB_Книга2_PR.PROG.WARM.NOTCOMBI.2012.2.16_v1.4(04.04.11) " xfId="4" xr:uid="{00000000-0005-0000-0000-00003A000000}"/>
    <cellStyle name="_Расчет RAB_22072008_PR.PROG.WARM.NOTCOMBI.2012.2.16_v1.4(04.04.11) " xfId="4" xr:uid="{00000000-0005-0000-0000-00003B000000}"/>
    <cellStyle name="_Расчет RAB_22072008_Книга2_PR.PROG.WARM.NOTCOMBI.2012.2.16_v1.4(04.04.11) " xfId="4" xr:uid="{00000000-0005-0000-0000-00003C000000}"/>
    <cellStyle name="_Расчет RAB_Лен и МОЭСК_с 2010 года_14.04.2009_со сглаж_version 3.0_без ФСК_PR.PROG.WARM.NOTCOMBI.2012.2.16_v1.4(04.04.11) " xfId="4" xr:uid="{00000000-0005-0000-0000-00003D000000}"/>
    <cellStyle name="_Расчет RAB_Лен и МОЭСК_с 2010 года_14.04.2009_со сглаж_version 3.0_без ФСК_Книга2_PR.PROG.WARM.NOTCOMBI.2012.2.16_v1.4(04.04.11) " xfId="4" xr:uid="{00000000-0005-0000-0000-00003E000000}"/>
    <cellStyle name="currency1" xfId="5" xr:uid="{00000000-0005-0000-0000-00003F000000}"/>
    <cellStyle name="Currency2" xfId="6" xr:uid="{00000000-0005-0000-0000-000040000000}"/>
    <cellStyle name="currency3" xfId="7" xr:uid="{00000000-0005-0000-0000-000041000000}"/>
    <cellStyle name="currency4" xfId="8" xr:uid="{00000000-0005-0000-0000-000042000000}"/>
    <cellStyle name="Followed Hyperlink" xfId="9" xr:uid="{00000000-0005-0000-0000-000043000000}"/>
    <cellStyle name="normal" xfId="1" xr:uid="{00000000-0005-0000-0000-000029000000}"/>
    <cellStyle name="Normal1" xfId="10" xr:uid="{00000000-0005-0000-0000-000045000000}"/>
    <cellStyle name="Normal2" xfId="6" xr:uid="{00000000-0005-0000-0000-000046000000}"/>
    <cellStyle name="Percent1" xfId="6" xr:uid="{00000000-0005-0000-0000-000047000000}"/>
    <cellStyle name="Обычный" xfId="0" builtinId="0"/>
    <cellStyle name="Обычный 10" xfId="11" xr:uid="{00000000-0005-0000-0000-000048000000}"/>
    <cellStyle name="Обычный 16" xfId="12" xr:uid="{00000000-0005-0000-0000-000049000000}"/>
    <cellStyle name="Обычный 2" xfId="13" xr:uid="{00000000-0005-0000-0000-00004A000000}"/>
    <cellStyle name="Обычный_BALANCE.WARM.2007YEAR(FACT)" xfId="14" xr:uid="{00000000-0005-0000-0000-00004B000000}"/>
    <cellStyle name="Обычный_PRIL1.ELECTR" xfId="14" xr:uid="{00000000-0005-0000-0000-00004C000000}"/>
    <cellStyle name="Открывавшаяся гиперссылка" xfId="15" xr:uid="{00000000-0005-0000-0000-00004D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worksheet" Target="worksheets/sheet63.xml"/><Relationship Id="rId68" Type="http://schemas.openxmlformats.org/officeDocument/2006/relationships/worksheet" Target="worksheets/sheet68.xml"/><Relationship Id="rId76" Type="http://schemas.openxmlformats.org/officeDocument/2006/relationships/worksheet" Target="worksheets/sheet76.xml"/><Relationship Id="rId84" Type="http://schemas.openxmlformats.org/officeDocument/2006/relationships/worksheet" Target="worksheets/sheet84.xml"/><Relationship Id="rId89" Type="http://schemas.openxmlformats.org/officeDocument/2006/relationships/worksheet" Target="worksheets/sheet89.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74" Type="http://schemas.openxmlformats.org/officeDocument/2006/relationships/worksheet" Target="worksheets/sheet74.xml"/><Relationship Id="rId79" Type="http://schemas.openxmlformats.org/officeDocument/2006/relationships/worksheet" Target="worksheets/sheet79.xml"/><Relationship Id="rId87" Type="http://schemas.openxmlformats.org/officeDocument/2006/relationships/worksheet" Target="worksheets/sheet87.xml"/><Relationship Id="rId5" Type="http://schemas.openxmlformats.org/officeDocument/2006/relationships/worksheet" Target="worksheets/sheet5.xml"/><Relationship Id="rId61" Type="http://schemas.openxmlformats.org/officeDocument/2006/relationships/worksheet" Target="worksheets/sheet61.xml"/><Relationship Id="rId82" Type="http://schemas.openxmlformats.org/officeDocument/2006/relationships/worksheet" Target="worksheets/sheet82.xml"/><Relationship Id="rId90" Type="http://schemas.openxmlformats.org/officeDocument/2006/relationships/theme" Target="theme/theme1.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worksheet" Target="worksheets/sheet77.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worksheet" Target="worksheets/sheet80.xml"/><Relationship Id="rId85" Type="http://schemas.openxmlformats.org/officeDocument/2006/relationships/worksheet" Target="worksheets/sheet85.xml"/><Relationship Id="rId93" Type="http://schemas.openxmlformats.org/officeDocument/2006/relationships/calcChain" Target="calcChain.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worksheet" Target="worksheets/sheet88.xml"/><Relationship Id="rId91"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image" Target="../media/image4.png"/></Relationships>
</file>

<file path=xl/drawings/_rels/drawing3.xml.rels><?xml version="1.0" encoding="UTF-8" standalone="yes"?>
<Relationships xmlns="http://schemas.openxmlformats.org/package/2006/relationships"><Relationship Id="rId1" Type="http://schemas.openxmlformats.org/officeDocument/2006/relationships/image" Target="../media/image5.png"/></Relationships>
</file>

<file path=xl/drawings/_rels/drawing4.xml.rels><?xml version="1.0" encoding="UTF-8" standalone="yes"?>
<Relationships xmlns="http://schemas.openxmlformats.org/package/2006/relationships"><Relationship Id="rId1" Type="http://schemas.openxmlformats.org/officeDocument/2006/relationships/image" Target="../media/image6.png"/></Relationships>
</file>

<file path=xl/drawings/_rels/drawing5.xml.rels><?xml version="1.0" encoding="UTF-8" standalone="yes"?>
<Relationships xmlns="http://schemas.openxmlformats.org/package/2006/relationships"><Relationship Id="rId1" Type="http://schemas.openxmlformats.org/officeDocument/2006/relationships/image" Target="../media/image7.png"/></Relationships>
</file>

<file path=xl/drawings/_rels/drawing6.xml.rels><?xml version="1.0" encoding="UTF-8" standalone="yes"?>
<Relationships xmlns="http://schemas.openxmlformats.org/package/2006/relationships"><Relationship Id="rId1" Type="http://schemas.openxmlformats.org/officeDocument/2006/relationships/image" Target="../media/image8.png"/></Relationships>
</file>

<file path=xl/drawings/_rels/drawing7.xml.rels><?xml version="1.0" encoding="UTF-8" standalone="yes"?>
<Relationships xmlns="http://schemas.openxmlformats.org/package/2006/relationships"><Relationship Id="rId1" Type="http://schemas.openxmlformats.org/officeDocument/2006/relationships/image" Target="../media/image9.png"/></Relationships>
</file>

<file path=xl/drawings/_rels/drawing8.xml.rels><?xml version="1.0" encoding="UTF-8" standalone="yes"?>
<Relationships xmlns="http://schemas.openxmlformats.org/package/2006/relationships"><Relationship Id="rId1" Type="http://schemas.openxmlformats.org/officeDocument/2006/relationships/image" Target="../media/image8.png"/></Relationships>
</file>

<file path=xl/drawings/drawing1.xml><?xml version="1.0" encoding="utf-8"?>
<xdr:wsDr xmlns:xdr="http://schemas.openxmlformats.org/drawingml/2006/spreadsheetDrawing" xmlns:a="http://schemas.openxmlformats.org/drawingml/2006/main">
  <xdr:twoCellAnchor editAs="oneCell">
    <xdr:from>
      <xdr:col>3</xdr:col>
      <xdr:colOff>57150</xdr:colOff>
      <xdr:row>8</xdr:row>
      <xdr:rowOff>0</xdr:rowOff>
    </xdr:from>
    <xdr:to>
      <xdr:col>4</xdr:col>
      <xdr:colOff>314515</xdr:colOff>
      <xdr:row>14</xdr:row>
      <xdr:rowOff>191</xdr:rowOff>
    </xdr:to>
    <xdr:pic>
      <xdr:nvPicPr>
        <xdr:cNvPr id="2" name="PHONE_PIC" descr="update_org.png" hidden="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16</xdr:row>
      <xdr:rowOff>0</xdr:rowOff>
    </xdr:from>
    <xdr:to>
      <xdr:col>4</xdr:col>
      <xdr:colOff>314515</xdr:colOff>
      <xdr:row>30</xdr:row>
      <xdr:rowOff>191</xdr:rowOff>
    </xdr:to>
    <xdr:pic>
      <xdr:nvPicPr>
        <xdr:cNvPr id="3" name="PHONE_PIC_1" descr="update_org.png" hidden="1">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207645</xdr:colOff>
      <xdr:row>4</xdr:row>
      <xdr:rowOff>207645</xdr:rowOff>
    </xdr:to>
    <xdr:pic>
      <xdr:nvPicPr>
        <xdr:cNvPr id="4" name="cmdCreatePrintedForm" descr="Создание печатной формы" hidden="1">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54102</xdr:rowOff>
    </xdr:to>
    <xdr:pic>
      <xdr:nvPicPr>
        <xdr:cNvPr id="5" name="UPDATE_PLAN1X_DATA" descr="update_org.png" hidden="1">
          <a:extLst>
            <a:ext uri="{FF2B5EF4-FFF2-40B4-BE49-F238E27FC236}">
              <a16:creationId xmlns:a16="http://schemas.microsoft.com/office/drawing/2014/main" id="{00000000-0008-0000-0100-000005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65</xdr:row>
      <xdr:rowOff>76200</xdr:rowOff>
    </xdr:from>
    <xdr:to>
      <xdr:col>4</xdr:col>
      <xdr:colOff>321850</xdr:colOff>
      <xdr:row>65</xdr:row>
      <xdr:rowOff>400240</xdr:rowOff>
    </xdr:to>
    <xdr:pic>
      <xdr:nvPicPr>
        <xdr:cNvPr id="6" name="PHONE_PIC_2" descr="update_org.png" hidden="1">
          <a:extLst>
            <a:ext uri="{FF2B5EF4-FFF2-40B4-BE49-F238E27FC236}">
              <a16:creationId xmlns:a16="http://schemas.microsoft.com/office/drawing/2014/main" id="{00000000-0008-0000-0100-000006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207645</xdr:colOff>
      <xdr:row>8</xdr:row>
      <xdr:rowOff>207645</xdr:rowOff>
    </xdr:to>
    <xdr:pic>
      <xdr:nvPicPr>
        <xdr:cNvPr id="2" name="ExcludeHelp_2" descr="Справка по листу" hidden="1">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3" name="Рисунок 1" hidden="1">
          <a:extLst>
            <a:ext uri="{FF2B5EF4-FFF2-40B4-BE49-F238E27FC236}">
              <a16:creationId xmlns:a16="http://schemas.microsoft.com/office/drawing/2014/main" id="{00000000-0008-0000-02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2" name="Рисунок 8" hidden="1">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0</xdr:colOff>
      <xdr:row>9</xdr:row>
      <xdr:rowOff>30480</xdr:rowOff>
    </xdr:to>
    <xdr:pic>
      <xdr:nvPicPr>
        <xdr:cNvPr id="2" name="UNFREEZE_PANES_I11" descr="update_org.png" hidden="1">
          <a:extLst>
            <a:ext uri="{FF2B5EF4-FFF2-40B4-BE49-F238E27FC236}">
              <a16:creationId xmlns:a16="http://schemas.microsoft.com/office/drawing/2014/main" id="{00000000-0008-0000-22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4</xdr:row>
      <xdr:rowOff>0</xdr:rowOff>
    </xdr:from>
    <xdr:to>
      <xdr:col>8</xdr:col>
      <xdr:colOff>0</xdr:colOff>
      <xdr:row>5</xdr:row>
      <xdr:rowOff>0</xdr:rowOff>
    </xdr:to>
    <xdr:pic>
      <xdr:nvPicPr>
        <xdr:cNvPr id="2" name="UNFREEZE_PANES" descr="update_org.png" hidden="1">
          <a:extLst>
            <a:ext uri="{FF2B5EF4-FFF2-40B4-BE49-F238E27FC236}">
              <a16:creationId xmlns:a16="http://schemas.microsoft.com/office/drawing/2014/main" id="{00000000-0008-0000-23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2" name="UNFREEZE_PANES" descr="update_org.png" hidden="1">
          <a:extLst>
            <a:ext uri="{FF2B5EF4-FFF2-40B4-BE49-F238E27FC236}">
              <a16:creationId xmlns:a16="http://schemas.microsoft.com/office/drawing/2014/main" id="{00000000-0008-0000-2E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2" name="UNFREEZE_PANES" descr="update_org.png" hidden="1">
          <a:extLst>
            <a:ext uri="{FF2B5EF4-FFF2-40B4-BE49-F238E27FC236}">
              <a16:creationId xmlns:a16="http://schemas.microsoft.com/office/drawing/2014/main" id="{00000000-0008-0000-2F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2" name="UNFREEZE_PANES" descr="update_org.png" hidden="1">
          <a:extLst>
            <a:ext uri="{FF2B5EF4-FFF2-40B4-BE49-F238E27FC236}">
              <a16:creationId xmlns:a16="http://schemas.microsoft.com/office/drawing/2014/main" id="{00000000-0008-0000-3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51.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63.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4EB7ED-DDE2-F4EA-4533-0C062CF1A17C}">
  <dimension ref="A1:AB21"/>
  <sheetViews>
    <sheetView showGridLines="0" showRowColHeaders="0" workbookViewId="0"/>
  </sheetViews>
  <sheetFormatPr defaultColWidth="11" defaultRowHeight="12.75" customHeight="1"/>
  <cols>
    <col min="1" max="1" width="5.42578125" style="42" customWidth="1"/>
    <col min="2" max="2" width="9.140625" style="42" customWidth="1"/>
    <col min="3" max="3" width="16.42578125" style="42" customWidth="1"/>
    <col min="4" max="25" width="6.28515625" style="42" customWidth="1"/>
    <col min="26" max="28" width="11" style="42"/>
  </cols>
  <sheetData>
    <row r="1" spans="1:28" ht="15.75" customHeight="1">
      <c r="A1" s="523"/>
      <c r="B1" s="524"/>
      <c r="C1" s="524"/>
      <c r="D1" s="524"/>
      <c r="E1" s="524"/>
      <c r="F1" s="524"/>
      <c r="G1" s="524"/>
      <c r="H1" s="524"/>
      <c r="I1" s="524"/>
      <c r="J1" s="524"/>
      <c r="K1" s="524"/>
      <c r="L1" s="524"/>
      <c r="M1" s="524"/>
      <c r="N1" s="524"/>
      <c r="O1" s="524"/>
      <c r="P1" s="524"/>
      <c r="Q1" s="524"/>
      <c r="R1" s="524"/>
      <c r="S1" s="524"/>
      <c r="T1" s="524"/>
      <c r="U1" s="524"/>
      <c r="V1" s="524"/>
      <c r="W1" s="524"/>
      <c r="X1" s="524"/>
      <c r="Y1" s="524"/>
      <c r="Z1" s="524"/>
      <c r="AA1" s="525" t="s">
        <v>0</v>
      </c>
      <c r="AB1" s="524"/>
    </row>
    <row r="2" spans="1:28" ht="17.25" customHeight="1">
      <c r="A2" s="524"/>
      <c r="B2" s="656" t="s">
        <v>1</v>
      </c>
      <c r="C2" s="656"/>
      <c r="D2" s="656"/>
      <c r="E2" s="656"/>
      <c r="F2" s="656"/>
      <c r="G2" s="656"/>
      <c r="H2" s="656"/>
      <c r="I2" s="656"/>
      <c r="J2" s="656"/>
      <c r="K2" s="656"/>
      <c r="L2" s="656"/>
      <c r="M2" s="656"/>
      <c r="N2" s="656"/>
      <c r="O2" s="656"/>
      <c r="P2" s="656"/>
      <c r="Q2" s="526"/>
      <c r="R2" s="526"/>
      <c r="S2" s="526"/>
      <c r="T2" s="526"/>
      <c r="U2" s="526"/>
      <c r="V2" s="527"/>
      <c r="W2" s="526"/>
      <c r="X2" s="526"/>
      <c r="Y2" s="524"/>
      <c r="Z2" s="524"/>
      <c r="AA2" s="525"/>
      <c r="AB2" s="524"/>
    </row>
    <row r="3" spans="1:28" ht="15.75" customHeight="1">
      <c r="A3" s="524"/>
      <c r="B3" s="656" t="s">
        <v>2</v>
      </c>
      <c r="C3" s="656"/>
      <c r="D3" s="656"/>
      <c r="E3" s="656"/>
      <c r="F3" s="656"/>
      <c r="G3" s="656"/>
      <c r="H3" s="656"/>
      <c r="I3" s="656"/>
      <c r="J3" s="656"/>
      <c r="K3" s="656"/>
      <c r="L3" s="656"/>
      <c r="M3" s="656"/>
      <c r="N3" s="656"/>
      <c r="O3" s="656"/>
      <c r="P3" s="656"/>
      <c r="Q3" s="527"/>
      <c r="R3" s="527"/>
      <c r="S3" s="526"/>
      <c r="T3" s="526"/>
      <c r="U3" s="526"/>
      <c r="V3" s="527"/>
      <c r="W3" s="527"/>
      <c r="X3" s="527"/>
      <c r="Y3" s="527"/>
      <c r="Z3" s="524"/>
      <c r="AA3" s="525"/>
      <c r="AB3" s="524"/>
    </row>
    <row r="4" spans="1:28" ht="17.25" customHeight="1">
      <c r="A4" s="524"/>
      <c r="B4" s="40"/>
      <c r="C4" s="524"/>
      <c r="D4" s="527"/>
      <c r="E4" s="527"/>
      <c r="F4" s="527"/>
      <c r="G4" s="527"/>
      <c r="H4" s="527"/>
      <c r="I4" s="527"/>
      <c r="J4" s="527"/>
      <c r="K4" s="527"/>
      <c r="L4" s="527"/>
      <c r="M4" s="527"/>
      <c r="N4" s="527"/>
      <c r="O4" s="527"/>
      <c r="P4" s="527"/>
      <c r="Q4" s="527"/>
      <c r="R4" s="527"/>
      <c r="S4" s="527"/>
      <c r="T4" s="527"/>
      <c r="U4" s="527"/>
      <c r="V4" s="527"/>
      <c r="W4" s="527"/>
      <c r="X4" s="527"/>
      <c r="Y4" s="527"/>
      <c r="Z4" s="524"/>
      <c r="AA4" s="525"/>
      <c r="AB4" s="524"/>
    </row>
    <row r="5" spans="1:28" ht="22.5" customHeight="1">
      <c r="A5" s="23"/>
      <c r="B5" s="657" t="str">
        <f>IF(TEMPLATE_SPHERE="","Информация, подлежащая раскрытию регулируемыми организациями",Титульный!E5)</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C5" s="658"/>
      <c r="D5" s="658"/>
      <c r="E5" s="658"/>
      <c r="F5" s="658"/>
      <c r="G5" s="658"/>
      <c r="H5" s="658"/>
      <c r="I5" s="658"/>
      <c r="J5" s="658"/>
      <c r="K5" s="658"/>
      <c r="L5" s="658"/>
      <c r="M5" s="658"/>
      <c r="N5" s="658"/>
      <c r="O5" s="658"/>
      <c r="P5" s="658"/>
      <c r="Q5" s="658"/>
      <c r="R5" s="658"/>
      <c r="S5" s="658"/>
      <c r="T5" s="658"/>
      <c r="U5" s="658"/>
      <c r="V5" s="658"/>
      <c r="W5" s="658"/>
      <c r="X5" s="658"/>
      <c r="Y5" s="659"/>
      <c r="Z5" s="23"/>
      <c r="AA5" s="525"/>
      <c r="AB5" s="23"/>
    </row>
    <row r="6" spans="1:28" ht="15" customHeight="1">
      <c r="A6" s="94"/>
      <c r="B6" s="649" t="s">
        <v>3</v>
      </c>
      <c r="C6" s="652"/>
      <c r="D6" s="528"/>
      <c r="E6" s="528"/>
      <c r="F6" s="528"/>
      <c r="G6" s="528"/>
      <c r="H6" s="528"/>
      <c r="I6" s="528"/>
      <c r="J6" s="528"/>
      <c r="K6" s="528"/>
      <c r="L6" s="528"/>
      <c r="M6" s="528"/>
      <c r="N6" s="528"/>
      <c r="O6" s="528"/>
      <c r="P6" s="528"/>
      <c r="Q6" s="528"/>
      <c r="R6" s="528"/>
      <c r="S6" s="528"/>
      <c r="T6" s="528"/>
      <c r="U6" s="528"/>
      <c r="V6" s="528"/>
      <c r="W6" s="528"/>
      <c r="X6" s="528"/>
      <c r="Y6" s="529"/>
      <c r="Z6" s="530"/>
      <c r="AA6" s="94"/>
      <c r="AB6" s="94"/>
    </row>
    <row r="7" spans="1:28" ht="15" customHeight="1">
      <c r="A7" s="94"/>
      <c r="B7" s="649"/>
      <c r="C7" s="652"/>
      <c r="D7" s="528"/>
      <c r="E7" s="528"/>
      <c r="F7" s="528"/>
      <c r="G7" s="528"/>
      <c r="H7" s="528"/>
      <c r="I7" s="528"/>
      <c r="J7" s="528"/>
      <c r="K7" s="528"/>
      <c r="L7" s="528"/>
      <c r="M7" s="528"/>
      <c r="N7" s="528"/>
      <c r="O7" s="528"/>
      <c r="P7" s="528"/>
      <c r="Q7" s="528"/>
      <c r="R7" s="528"/>
      <c r="S7" s="528"/>
      <c r="T7" s="528"/>
      <c r="U7" s="528"/>
      <c r="V7" s="528"/>
      <c r="W7" s="528"/>
      <c r="X7" s="528"/>
      <c r="Y7" s="529"/>
      <c r="Z7" s="530"/>
      <c r="AA7" s="94"/>
      <c r="AB7" s="94"/>
    </row>
    <row r="8" spans="1:28" ht="15" customHeight="1">
      <c r="A8" s="94"/>
      <c r="B8" s="649"/>
      <c r="C8" s="652"/>
      <c r="D8" s="531"/>
      <c r="E8" s="532" t="s">
        <v>4</v>
      </c>
      <c r="F8" s="660" t="s">
        <v>5</v>
      </c>
      <c r="G8" s="651"/>
      <c r="H8" s="651"/>
      <c r="I8" s="651"/>
      <c r="J8" s="651"/>
      <c r="K8" s="651"/>
      <c r="L8" s="651"/>
      <c r="M8" s="651"/>
      <c r="N8" s="531"/>
      <c r="O8" s="533" t="s">
        <v>4</v>
      </c>
      <c r="P8" s="660" t="s">
        <v>6</v>
      </c>
      <c r="Q8" s="651"/>
      <c r="R8" s="651"/>
      <c r="S8" s="651"/>
      <c r="T8" s="651"/>
      <c r="U8" s="651"/>
      <c r="V8" s="651"/>
      <c r="W8" s="651"/>
      <c r="X8" s="651"/>
      <c r="Y8" s="529"/>
      <c r="Z8" s="530"/>
      <c r="AA8" s="94"/>
      <c r="AB8" s="94"/>
    </row>
    <row r="9" spans="1:28" ht="15" customHeight="1">
      <c r="A9" s="94"/>
      <c r="B9" s="649"/>
      <c r="C9" s="652"/>
      <c r="D9" s="531"/>
      <c r="E9" s="534" t="s">
        <v>4</v>
      </c>
      <c r="F9" s="660" t="s">
        <v>7</v>
      </c>
      <c r="G9" s="651"/>
      <c r="H9" s="651"/>
      <c r="I9" s="651"/>
      <c r="J9" s="651"/>
      <c r="K9" s="651"/>
      <c r="L9" s="651"/>
      <c r="M9" s="651"/>
      <c r="N9" s="531"/>
      <c r="O9" s="535" t="s">
        <v>4</v>
      </c>
      <c r="P9" s="660" t="s">
        <v>8</v>
      </c>
      <c r="Q9" s="651"/>
      <c r="R9" s="651"/>
      <c r="S9" s="651"/>
      <c r="T9" s="651"/>
      <c r="U9" s="651"/>
      <c r="V9" s="651"/>
      <c r="W9" s="651"/>
      <c r="X9" s="651"/>
      <c r="Y9" s="529"/>
      <c r="Z9" s="530"/>
      <c r="AA9" s="94"/>
      <c r="AB9" s="94"/>
    </row>
    <row r="10" spans="1:28" ht="30" customHeight="1">
      <c r="A10" s="94"/>
      <c r="B10" s="649"/>
      <c r="C10" s="650"/>
      <c r="D10" s="536"/>
      <c r="E10" s="537"/>
      <c r="F10" s="528"/>
      <c r="G10" s="528"/>
      <c r="H10" s="528"/>
      <c r="I10" s="528"/>
      <c r="J10" s="528"/>
      <c r="K10" s="528"/>
      <c r="L10" s="528"/>
      <c r="M10" s="528"/>
      <c r="N10" s="528"/>
      <c r="O10" s="537"/>
      <c r="P10" s="528"/>
      <c r="Q10" s="528"/>
      <c r="R10" s="528"/>
      <c r="S10" s="528"/>
      <c r="T10" s="528"/>
      <c r="U10" s="528"/>
      <c r="V10" s="528"/>
      <c r="W10" s="528"/>
      <c r="X10" s="528"/>
      <c r="Y10" s="529"/>
      <c r="Z10" s="530"/>
      <c r="AA10" s="94"/>
      <c r="AB10" s="94"/>
    </row>
    <row r="11" spans="1:28" ht="19.5" customHeight="1">
      <c r="A11" s="94"/>
      <c r="B11" s="1" t="s">
        <v>9</v>
      </c>
      <c r="C11" s="648"/>
      <c r="D11" s="531"/>
      <c r="E11" s="531"/>
      <c r="F11" s="531"/>
      <c r="G11" s="531"/>
      <c r="H11" s="531"/>
      <c r="I11" s="531"/>
      <c r="J11" s="531"/>
      <c r="K11" s="531"/>
      <c r="L11" s="531"/>
      <c r="M11" s="531"/>
      <c r="N11" s="531"/>
      <c r="O11" s="531"/>
      <c r="P11" s="531"/>
      <c r="Q11" s="531"/>
      <c r="R11" s="531"/>
      <c r="S11" s="531"/>
      <c r="T11" s="531"/>
      <c r="U11" s="531"/>
      <c r="V11" s="531"/>
      <c r="W11" s="531"/>
      <c r="X11" s="531"/>
      <c r="Y11" s="529"/>
      <c r="Z11" s="530"/>
      <c r="AA11" s="94"/>
      <c r="AB11" s="94"/>
    </row>
    <row r="12" spans="1:28" ht="69" customHeight="1">
      <c r="A12" s="94"/>
      <c r="B12" s="649"/>
      <c r="C12" s="650"/>
      <c r="D12" s="538"/>
      <c r="E12" s="651" t="s">
        <v>10</v>
      </c>
      <c r="F12" s="651"/>
      <c r="G12" s="651"/>
      <c r="H12" s="651"/>
      <c r="I12" s="651"/>
      <c r="J12" s="651"/>
      <c r="K12" s="651"/>
      <c r="L12" s="651"/>
      <c r="M12" s="651"/>
      <c r="N12" s="651"/>
      <c r="O12" s="651"/>
      <c r="P12" s="651"/>
      <c r="Q12" s="651"/>
      <c r="R12" s="651"/>
      <c r="S12" s="651"/>
      <c r="T12" s="651"/>
      <c r="U12" s="651"/>
      <c r="V12" s="651"/>
      <c r="W12" s="651"/>
      <c r="X12" s="651"/>
      <c r="Y12" s="529"/>
      <c r="Z12" s="530"/>
      <c r="AA12" s="94"/>
      <c r="AB12" s="94"/>
    </row>
    <row r="13" spans="1:28" ht="15" customHeight="1">
      <c r="A13" s="94"/>
      <c r="B13" s="1" t="s">
        <v>11</v>
      </c>
      <c r="C13" s="648"/>
      <c r="D13" s="528"/>
      <c r="E13" s="531"/>
      <c r="F13" s="531"/>
      <c r="G13" s="531"/>
      <c r="H13" s="531"/>
      <c r="I13" s="531"/>
      <c r="J13" s="531"/>
      <c r="K13" s="531"/>
      <c r="L13" s="531"/>
      <c r="M13" s="531"/>
      <c r="N13" s="531"/>
      <c r="O13" s="531"/>
      <c r="P13" s="531"/>
      <c r="Q13" s="531"/>
      <c r="R13" s="531"/>
      <c r="S13" s="531"/>
      <c r="T13" s="531"/>
      <c r="U13" s="531"/>
      <c r="V13" s="531"/>
      <c r="W13" s="531"/>
      <c r="X13" s="531"/>
      <c r="Y13" s="529"/>
      <c r="Z13" s="530"/>
      <c r="AA13" s="94"/>
      <c r="AB13" s="94"/>
    </row>
    <row r="14" spans="1:28" ht="57" customHeight="1">
      <c r="A14" s="94"/>
      <c r="B14" s="649"/>
      <c r="C14" s="652"/>
      <c r="D14" s="531"/>
      <c r="E14" s="651" t="s">
        <v>12</v>
      </c>
      <c r="F14" s="651"/>
      <c r="G14" s="651"/>
      <c r="H14" s="651"/>
      <c r="I14" s="651"/>
      <c r="J14" s="651"/>
      <c r="K14" s="651"/>
      <c r="L14" s="651"/>
      <c r="M14" s="651"/>
      <c r="N14" s="651"/>
      <c r="O14" s="651"/>
      <c r="P14" s="651"/>
      <c r="Q14" s="651"/>
      <c r="R14" s="651"/>
      <c r="S14" s="651"/>
      <c r="T14" s="651"/>
      <c r="U14" s="651"/>
      <c r="V14" s="651"/>
      <c r="W14" s="651"/>
      <c r="X14" s="651"/>
      <c r="Y14" s="529"/>
      <c r="Z14" s="530"/>
      <c r="AA14" s="94"/>
      <c r="AB14" s="94"/>
    </row>
    <row r="15" spans="1:28" ht="16.5" customHeight="1">
      <c r="A15" s="94"/>
      <c r="B15" s="653"/>
      <c r="C15" s="654"/>
      <c r="D15" s="539"/>
      <c r="E15" s="540"/>
      <c r="F15" s="540"/>
      <c r="G15" s="540"/>
      <c r="H15" s="540"/>
      <c r="I15" s="540"/>
      <c r="J15" s="540"/>
      <c r="K15" s="540"/>
      <c r="L15" s="540"/>
      <c r="M15" s="540"/>
      <c r="N15" s="540"/>
      <c r="O15" s="540"/>
      <c r="P15" s="540"/>
      <c r="Q15" s="540"/>
      <c r="R15" s="540"/>
      <c r="S15" s="540"/>
      <c r="T15" s="540"/>
      <c r="U15" s="540"/>
      <c r="V15" s="540"/>
      <c r="W15" s="540"/>
      <c r="X15" s="540"/>
      <c r="Y15" s="540"/>
      <c r="Z15" s="530"/>
      <c r="AA15" s="541"/>
      <c r="AB15" s="94"/>
    </row>
    <row r="16" spans="1:28" ht="95.25" customHeight="1">
      <c r="A16" s="524"/>
      <c r="B16" s="651"/>
      <c r="C16" s="655"/>
      <c r="D16" s="655"/>
      <c r="E16" s="655"/>
      <c r="F16" s="655"/>
      <c r="G16" s="655"/>
      <c r="H16" s="655"/>
      <c r="I16" s="655"/>
      <c r="J16" s="655"/>
      <c r="K16" s="655"/>
      <c r="L16" s="655"/>
      <c r="M16" s="655"/>
      <c r="N16" s="655"/>
      <c r="O16" s="655"/>
      <c r="P16" s="655"/>
      <c r="Q16" s="655"/>
      <c r="R16" s="655"/>
      <c r="S16" s="655"/>
      <c r="T16" s="655"/>
      <c r="U16" s="655"/>
      <c r="V16" s="655"/>
      <c r="W16" s="655"/>
      <c r="X16" s="655"/>
      <c r="Y16" s="655"/>
      <c r="Z16" s="524"/>
      <c r="AA16" s="525"/>
      <c r="AB16" s="524"/>
    </row>
    <row r="17" spans="1:28" ht="14.25" customHeight="1">
      <c r="A17" s="524"/>
      <c r="B17" s="524"/>
      <c r="C17" s="524"/>
      <c r="D17" s="524"/>
      <c r="E17" s="524"/>
      <c r="F17" s="524"/>
      <c r="G17" s="524"/>
      <c r="H17" s="524"/>
      <c r="I17" s="524"/>
      <c r="J17" s="524"/>
      <c r="K17" s="524"/>
      <c r="L17" s="524"/>
      <c r="M17" s="524"/>
      <c r="N17" s="524"/>
      <c r="O17" s="524"/>
      <c r="P17" s="524"/>
      <c r="Q17" s="524"/>
      <c r="R17" s="524"/>
      <c r="S17" s="524"/>
      <c r="T17" s="524"/>
      <c r="U17" s="524"/>
      <c r="V17" s="524"/>
      <c r="W17" s="524"/>
      <c r="X17" s="524"/>
      <c r="Y17" s="524"/>
      <c r="Z17" s="524"/>
      <c r="AA17" s="525"/>
      <c r="AB17" s="524"/>
    </row>
    <row r="18" spans="1:28" ht="14.25" customHeight="1">
      <c r="A18" s="524"/>
      <c r="B18" s="524"/>
      <c r="C18" s="524"/>
      <c r="D18" s="524"/>
      <c r="E18" s="524"/>
      <c r="F18" s="524"/>
      <c r="G18" s="524"/>
      <c r="H18" s="524"/>
      <c r="I18" s="524"/>
      <c r="J18" s="524"/>
      <c r="K18" s="524"/>
      <c r="L18" s="524"/>
      <c r="M18" s="524"/>
      <c r="N18" s="524"/>
      <c r="O18" s="524"/>
      <c r="P18" s="524"/>
      <c r="Q18" s="524"/>
      <c r="R18" s="524"/>
      <c r="S18" s="524"/>
      <c r="T18" s="524"/>
      <c r="U18" s="524"/>
      <c r="V18" s="524"/>
      <c r="W18" s="524"/>
      <c r="X18" s="524"/>
      <c r="Y18" s="524"/>
      <c r="Z18" s="524"/>
      <c r="AA18" s="525"/>
      <c r="AB18" s="524"/>
    </row>
    <row r="19" spans="1:28" ht="14.25" customHeight="1">
      <c r="A19" s="524"/>
      <c r="B19" s="524"/>
      <c r="C19" s="524"/>
      <c r="D19" s="524"/>
      <c r="E19" s="524"/>
      <c r="F19" s="524"/>
      <c r="G19" s="524"/>
      <c r="H19" s="524"/>
      <c r="I19" s="524"/>
      <c r="J19" s="524"/>
      <c r="K19" s="524"/>
      <c r="L19" s="524"/>
      <c r="M19" s="524"/>
      <c r="N19" s="524"/>
      <c r="O19" s="524"/>
      <c r="P19" s="524"/>
      <c r="Q19" s="524"/>
      <c r="R19" s="524"/>
      <c r="S19" s="524"/>
      <c r="T19" s="524"/>
      <c r="U19" s="524"/>
      <c r="V19" s="524"/>
      <c r="W19" s="524"/>
      <c r="X19" s="524"/>
      <c r="Y19" s="524"/>
      <c r="Z19" s="524"/>
      <c r="AA19" s="525"/>
      <c r="AB19" s="524"/>
    </row>
    <row r="20" spans="1:28" ht="14.25" customHeight="1">
      <c r="A20" s="524"/>
      <c r="B20" s="524"/>
      <c r="C20" s="524"/>
      <c r="D20" s="524"/>
      <c r="E20" s="524"/>
      <c r="F20" s="524"/>
      <c r="G20" s="524"/>
      <c r="H20" s="524"/>
      <c r="I20" s="524"/>
      <c r="J20" s="524"/>
      <c r="K20" s="524"/>
      <c r="L20" s="524"/>
      <c r="M20" s="524"/>
      <c r="N20" s="524"/>
      <c r="O20" s="524"/>
      <c r="P20" s="524"/>
      <c r="Q20" s="524"/>
      <c r="R20" s="524"/>
      <c r="S20" s="524"/>
      <c r="T20" s="524"/>
      <c r="U20" s="524"/>
      <c r="V20" s="524"/>
      <c r="W20" s="524"/>
      <c r="X20" s="524"/>
      <c r="Y20" s="524"/>
      <c r="Z20" s="524"/>
      <c r="AA20" s="525"/>
      <c r="AB20" s="524"/>
    </row>
    <row r="21" spans="1:28" ht="14.25" customHeight="1">
      <c r="A21" s="524"/>
      <c r="B21" s="524"/>
      <c r="C21" s="524"/>
      <c r="D21" s="524"/>
      <c r="E21" s="524"/>
      <c r="F21" s="524"/>
      <c r="G21" s="524"/>
      <c r="H21" s="524"/>
      <c r="I21" s="524"/>
      <c r="J21" s="524"/>
      <c r="K21" s="524"/>
      <c r="L21" s="524"/>
      <c r="M21" s="524"/>
      <c r="N21" s="524"/>
      <c r="O21" s="524"/>
      <c r="P21" s="524"/>
      <c r="Q21" s="524"/>
      <c r="R21" s="524"/>
      <c r="S21" s="524"/>
      <c r="T21" s="524"/>
      <c r="U21" s="524"/>
      <c r="V21" s="524"/>
      <c r="W21" s="524"/>
      <c r="X21" s="524"/>
      <c r="Y21" s="524"/>
      <c r="Z21" s="524"/>
      <c r="AA21" s="525"/>
      <c r="AB21" s="524"/>
    </row>
  </sheetData>
  <sheetProtection formatColumns="0" formatRows="0" insertRows="0" deleteColumns="0" deleteRows="0" sort="0" autoFilter="0"/>
  <mergeCells count="13">
    <mergeCell ref="B2:P2"/>
    <mergeCell ref="B3:P3"/>
    <mergeCell ref="B5:Y5"/>
    <mergeCell ref="B6:C10"/>
    <mergeCell ref="F8:M8"/>
    <mergeCell ref="P8:X8"/>
    <mergeCell ref="F9:M9"/>
    <mergeCell ref="P9:X9"/>
    <mergeCell ref="B11:C12"/>
    <mergeCell ref="E12:X12"/>
    <mergeCell ref="B13:C15"/>
    <mergeCell ref="E14:X14"/>
    <mergeCell ref="B16:Y16"/>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26C803-7079-E8AC-09B2-C614AB828923}">
  <sheetPr>
    <tabColor rgb="FFCCCCFF"/>
  </sheetPr>
  <dimension ref="A1:Q79"/>
  <sheetViews>
    <sheetView showGridLines="0" topLeftCell="C1" zoomScale="90" workbookViewId="0">
      <selection activeCell="F35" sqref="F35"/>
    </sheetView>
  </sheetViews>
  <sheetFormatPr defaultColWidth="9.140625" defaultRowHeight="11.25" customHeight="1"/>
  <cols>
    <col min="1" max="1" width="10.7109375" style="255" hidden="1" customWidth="1"/>
    <col min="2" max="2" width="10.7109375" style="7" hidden="1" customWidth="1"/>
    <col min="3" max="3" width="3" style="8" customWidth="1"/>
    <col min="4" max="4" width="1" style="4" customWidth="1"/>
    <col min="5" max="6" width="55" style="4" customWidth="1"/>
    <col min="7" max="7" width="1" style="4" customWidth="1"/>
    <col min="8" max="8" width="18" style="4" hidden="1" customWidth="1"/>
    <col min="9" max="9" width="59" style="7" customWidth="1"/>
    <col min="10" max="10" width="52.140625" style="43" hidden="1" customWidth="1"/>
    <col min="11" max="11" width="8" style="4" customWidth="1"/>
    <col min="12" max="12" width="77" style="4" customWidth="1"/>
    <col min="13" max="16" width="8" style="4" customWidth="1"/>
    <col min="17" max="17" width="12" style="4" hidden="1" customWidth="1"/>
  </cols>
  <sheetData>
    <row r="1" spans="1:17" s="88" customFormat="1" ht="3" customHeight="1">
      <c r="A1" s="255"/>
      <c r="F1" s="88" t="s">
        <v>13</v>
      </c>
      <c r="G1" s="7"/>
      <c r="H1" s="7"/>
      <c r="I1" s="7"/>
      <c r="J1" s="46"/>
      <c r="Q1" s="88" t="s">
        <v>14</v>
      </c>
    </row>
    <row r="2" spans="1:17" s="7" customFormat="1" ht="14.25" customHeight="1">
      <c r="A2" s="255"/>
      <c r="E2" s="4" t="str">
        <f>code</f>
        <v>Код отчёта: PP110.OPEN.INFO.QUARTER.HEAT.EIAS</v>
      </c>
      <c r="F2" s="94"/>
      <c r="G2" s="23"/>
      <c r="H2" s="23"/>
      <c r="I2" s="23"/>
      <c r="J2" s="167"/>
      <c r="K2" s="23"/>
      <c r="Q2" s="7">
        <v>14</v>
      </c>
    </row>
    <row r="3" spans="1:17" ht="14.65" customHeight="1">
      <c r="E3" s="22" t="str">
        <f>version</f>
        <v>Версия отчёта: 1.1.1</v>
      </c>
      <c r="F3" s="94"/>
      <c r="G3"/>
      <c r="H3"/>
      <c r="I3"/>
      <c r="K3"/>
      <c r="Q3" s="4">
        <v>14</v>
      </c>
    </row>
    <row r="4" spans="1:17" s="85" customFormat="1" ht="6.4" customHeight="1">
      <c r="A4" s="255"/>
      <c r="B4" s="81"/>
      <c r="C4" s="82"/>
      <c r="D4" s="83"/>
      <c r="G4" s="4"/>
      <c r="H4" s="4"/>
      <c r="I4" s="7"/>
      <c r="J4" s="227"/>
      <c r="Q4" s="85">
        <v>6</v>
      </c>
    </row>
    <row r="5" spans="1:17" ht="39.75" customHeight="1">
      <c r="D5" s="9"/>
      <c r="E5" s="661" t="str">
        <f>NameTemplatesInTitle</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F5" s="662"/>
      <c r="G5" s="109"/>
      <c r="J5" s="295"/>
      <c r="Q5" s="4">
        <v>38</v>
      </c>
    </row>
    <row r="6" spans="1:17" s="85" customFormat="1" ht="6.4" customHeight="1">
      <c r="A6" s="255"/>
      <c r="B6" s="81"/>
      <c r="C6" s="82"/>
      <c r="D6" s="83"/>
      <c r="E6" s="83"/>
      <c r="F6" s="86"/>
      <c r="G6" s="109"/>
      <c r="H6" s="4"/>
      <c r="I6" s="7"/>
      <c r="J6" s="227"/>
      <c r="Q6" s="85">
        <v>6</v>
      </c>
    </row>
    <row r="7" spans="1:17" ht="21" customHeight="1">
      <c r="D7" s="9"/>
      <c r="E7" s="126" t="s">
        <v>15</v>
      </c>
      <c r="F7" s="73" t="s">
        <v>16</v>
      </c>
      <c r="G7" s="109"/>
      <c r="Q7" s="4">
        <v>20</v>
      </c>
    </row>
    <row r="8" spans="1:17" s="85" customFormat="1" ht="6.4" customHeight="1">
      <c r="A8" s="256"/>
      <c r="B8" s="81"/>
      <c r="C8" s="82"/>
      <c r="D8" s="87"/>
      <c r="E8" s="83"/>
      <c r="F8" s="83"/>
      <c r="G8" s="6"/>
      <c r="H8" s="4"/>
      <c r="I8" s="7"/>
      <c r="J8" s="227"/>
      <c r="Q8" s="85">
        <v>6</v>
      </c>
    </row>
    <row r="9" spans="1:17" s="4" customFormat="1" ht="19.5" hidden="1" customHeight="1">
      <c r="A9" s="255"/>
      <c r="B9" s="7"/>
      <c r="C9" s="8"/>
      <c r="D9" s="9"/>
      <c r="E9" s="126" t="s">
        <v>17</v>
      </c>
      <c r="F9" s="116"/>
      <c r="G9" s="109"/>
      <c r="I9" s="4" t="str">
        <f>IF(TITLE_STRUCTURE_INFO_ROIV="","","раскрывается "&amp;INDEX(ROIV_INFO_COMMENT,MATCH(TITLE_STRUCTURE_INFO_ROIV,ROIV_INFO_LIST,0)))</f>
        <v/>
      </c>
      <c r="J9" s="43"/>
      <c r="Q9" s="4">
        <v>0</v>
      </c>
    </row>
    <row r="10" spans="1:17" s="85" customFormat="1" ht="24" hidden="1" customHeight="1">
      <c r="A10" s="256"/>
      <c r="B10" s="81"/>
      <c r="C10" s="82"/>
      <c r="D10" s="87"/>
      <c r="E10" s="126" t="s">
        <v>18</v>
      </c>
      <c r="F10" s="69" t="s">
        <v>19</v>
      </c>
      <c r="G10" s="6"/>
      <c r="H10" s="4"/>
      <c r="I10" s="7"/>
      <c r="J10" s="227"/>
      <c r="Q10" s="85">
        <v>24</v>
      </c>
    </row>
    <row r="11" spans="1:17" ht="22.5" hidden="1" customHeight="1">
      <c r="A11" s="664" t="s">
        <v>20</v>
      </c>
      <c r="D11" s="9"/>
      <c r="E11" s="126" t="s">
        <v>21</v>
      </c>
      <c r="F11" s="544" t="s">
        <v>22</v>
      </c>
      <c r="G11" s="6"/>
      <c r="H11" s="252" t="s">
        <v>23</v>
      </c>
      <c r="J11" s="43" t="s">
        <v>24</v>
      </c>
      <c r="Q11" s="4">
        <v>0</v>
      </c>
    </row>
    <row r="12" spans="1:17" ht="22.5" hidden="1" customHeight="1">
      <c r="A12" s="664"/>
      <c r="D12" s="9"/>
      <c r="E12" s="126" t="s">
        <v>25</v>
      </c>
      <c r="F12" s="544"/>
      <c r="G12" s="6"/>
      <c r="J12" s="43" t="s">
        <v>26</v>
      </c>
      <c r="Q12" s="4">
        <v>0</v>
      </c>
    </row>
    <row r="13" spans="1:17" s="4" customFormat="1" ht="22.5" hidden="1" customHeight="1">
      <c r="A13" s="258" t="s">
        <v>27</v>
      </c>
      <c r="B13" s="7"/>
      <c r="C13" s="8"/>
      <c r="D13" s="9"/>
      <c r="E13" s="569" t="s">
        <v>28</v>
      </c>
      <c r="F13" s="544" t="s">
        <v>22</v>
      </c>
      <c r="G13" s="6"/>
      <c r="H13"/>
      <c r="I13" s="7"/>
      <c r="J13" s="167" t="s">
        <v>29</v>
      </c>
      <c r="Q13" s="4">
        <v>0</v>
      </c>
    </row>
    <row r="14" spans="1:17" s="4" customFormat="1" ht="27" customHeight="1">
      <c r="A14" s="258" t="s">
        <v>30</v>
      </c>
      <c r="B14" s="7"/>
      <c r="C14" s="8"/>
      <c r="D14" s="9"/>
      <c r="E14" s="126" t="s">
        <v>31</v>
      </c>
      <c r="F14" s="67">
        <v>2024</v>
      </c>
      <c r="G14" s="6"/>
      <c r="H14"/>
      <c r="I14" s="7"/>
      <c r="J14" s="43" t="s">
        <v>32</v>
      </c>
      <c r="Q14" s="4">
        <v>0</v>
      </c>
    </row>
    <row r="15" spans="1:17" s="4" customFormat="1" ht="19.5" customHeight="1">
      <c r="A15" s="258" t="s">
        <v>33</v>
      </c>
      <c r="B15" s="7"/>
      <c r="C15" s="8"/>
      <c r="D15" s="9"/>
      <c r="E15" s="126" t="s">
        <v>34</v>
      </c>
      <c r="F15" s="67" t="s">
        <v>35</v>
      </c>
      <c r="G15" s="6"/>
      <c r="H15"/>
      <c r="I15" s="7"/>
      <c r="J15" s="43" t="s">
        <v>36</v>
      </c>
      <c r="Q15" s="4">
        <v>0</v>
      </c>
    </row>
    <row r="16" spans="1:17" s="85" customFormat="1" ht="6.4" customHeight="1">
      <c r="A16" s="256"/>
      <c r="B16" s="81"/>
      <c r="C16" s="82"/>
      <c r="D16" s="87"/>
      <c r="E16" s="83"/>
      <c r="F16" s="83"/>
      <c r="G16" s="6"/>
      <c r="H16" s="4"/>
      <c r="I16" s="7"/>
      <c r="J16" s="227"/>
      <c r="Q16" s="85">
        <v>6</v>
      </c>
    </row>
    <row r="17" spans="1:17" ht="21" customHeight="1">
      <c r="D17" s="9"/>
      <c r="E17" s="126" t="s">
        <v>37</v>
      </c>
      <c r="F17" s="74" t="s">
        <v>38</v>
      </c>
      <c r="G17" s="6"/>
      <c r="H17" s="252" t="s">
        <v>23</v>
      </c>
      <c r="Q17" s="4">
        <v>20</v>
      </c>
    </row>
    <row r="18" spans="1:17" ht="25.5" hidden="1" customHeight="1">
      <c r="D18" s="9"/>
      <c r="E18" s="569" t="s">
        <v>39</v>
      </c>
      <c r="F18" s="545"/>
      <c r="G18" s="6"/>
      <c r="I18" s="140"/>
      <c r="J18" s="663" t="s">
        <v>40</v>
      </c>
      <c r="Q18" s="4">
        <v>0</v>
      </c>
    </row>
    <row r="19" spans="1:17" ht="25.5" hidden="1" customHeight="1">
      <c r="D19" s="9"/>
      <c r="E19" s="126" t="str">
        <f>"Дата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r="F19" s="545"/>
      <c r="G19" s="6"/>
      <c r="I19" s="140"/>
      <c r="J19" s="663"/>
      <c r="Q19" s="4">
        <v>0</v>
      </c>
    </row>
    <row r="20" spans="1:17" ht="22.5" hidden="1" customHeight="1">
      <c r="D20" s="9"/>
      <c r="E20" s="6"/>
      <c r="F20" s="4" t="str">
        <f>"Первичное "&amp;IF(TEMPLATE_GROUP="P","установление тарифов","предложение по тарифам")</f>
        <v>Первичное предложение по тарифам</v>
      </c>
      <c r="G20" s="6"/>
      <c r="I20" s="6"/>
      <c r="J20" s="295" t="s">
        <v>41</v>
      </c>
      <c r="Q20" s="4">
        <v>0</v>
      </c>
    </row>
    <row r="21" spans="1:17" ht="19.5" hidden="1" customHeight="1">
      <c r="D21" s="9"/>
      <c r="E21" s="126" t="str">
        <f>"Дата "&amp;IF(TEMPLATE_GROUP="P","документа","подачи заявления")&amp;" об утверждении тарифов"</f>
        <v>Дата подачи заявления об утверждении тарифов</v>
      </c>
      <c r="F21" s="544"/>
      <c r="G21" s="6"/>
      <c r="I21" s="140"/>
      <c r="Q21" s="4">
        <v>0</v>
      </c>
    </row>
    <row r="22" spans="1:17" ht="19.5" hidden="1" customHeight="1">
      <c r="D22" s="9"/>
      <c r="E22" s="126" t="str">
        <f>"Номер "&amp;IF(TEMPLATE_GROUP="P","документа","подачи заявления")&amp;" об утверждении тарифов"</f>
        <v>Номер подачи заявления об утверждении тарифов</v>
      </c>
      <c r="F22" s="74"/>
      <c r="G22" s="6"/>
      <c r="I22" s="140"/>
      <c r="Q22" s="4">
        <v>0</v>
      </c>
    </row>
    <row r="23" spans="1:17" ht="22.5" hidden="1" customHeight="1">
      <c r="D23" s="9"/>
      <c r="E23" s="126" t="s">
        <v>42</v>
      </c>
      <c r="F23" s="74"/>
      <c r="G23" s="6"/>
      <c r="Q23" s="4">
        <v>0</v>
      </c>
    </row>
    <row r="24" spans="1:17" ht="19.5" hidden="1" customHeight="1">
      <c r="D24" s="9"/>
      <c r="E24" s="126" t="s">
        <v>43</v>
      </c>
      <c r="F24" s="74"/>
      <c r="G24" s="6"/>
      <c r="Q24" s="4">
        <v>0</v>
      </c>
    </row>
    <row r="25" spans="1:17" ht="22.5" hidden="1" customHeight="1">
      <c r="D25" s="9"/>
      <c r="E25" s="6"/>
      <c r="F25" s="4" t="str">
        <f>"Изменение "&amp;IF(TEMPLATE_GROUP="P","тарифов","предложения по тарифам")</f>
        <v>Изменение предложения по тарифам</v>
      </c>
      <c r="G25" s="6"/>
      <c r="J25" s="295" t="s">
        <v>44</v>
      </c>
      <c r="Q25" s="4">
        <v>0</v>
      </c>
    </row>
    <row r="26" spans="1:17" ht="19.5" hidden="1" customHeight="1">
      <c r="D26" s="9"/>
      <c r="E26" s="126" t="str">
        <f>"Дата "&amp;IF(TEMPLATE_GROUP="P","принятия решения","подачи заявления")&amp;" об изменении тарифов"</f>
        <v>Дата подачи заявления об изменении тарифов</v>
      </c>
      <c r="F26" s="545"/>
      <c r="G26" s="6"/>
      <c r="Q26" s="4">
        <v>0</v>
      </c>
    </row>
    <row r="27" spans="1:17" ht="19.5" hidden="1" customHeight="1">
      <c r="D27" s="9"/>
      <c r="E27" s="126" t="str">
        <f>"Номер "&amp;IF(TEMPLATE_GROUP="P","принятия решения","заявления")&amp;" об изменении тарифов"</f>
        <v>Номер заявления об изменении тарифов</v>
      </c>
      <c r="F27" s="31"/>
      <c r="G27" s="6"/>
      <c r="Q27" s="4">
        <v>0</v>
      </c>
    </row>
    <row r="28" spans="1:17" ht="24.75" hidden="1" customHeight="1">
      <c r="D28" s="9"/>
      <c r="E28" s="126" t="s">
        <v>45</v>
      </c>
      <c r="F28" s="31"/>
      <c r="G28" s="6"/>
      <c r="Q28" s="4">
        <v>0</v>
      </c>
    </row>
    <row r="29" spans="1:17" ht="19.5" hidden="1" customHeight="1">
      <c r="D29" s="9"/>
      <c r="E29" s="126" t="s">
        <v>43</v>
      </c>
      <c r="F29" s="31"/>
      <c r="G29" s="6"/>
      <c r="Q29" s="4">
        <v>0</v>
      </c>
    </row>
    <row r="30" spans="1:17" s="85" customFormat="1" ht="6.4" customHeight="1">
      <c r="A30" s="256"/>
      <c r="B30" s="81"/>
      <c r="C30" s="82"/>
      <c r="D30" s="87"/>
      <c r="E30" s="83"/>
      <c r="F30" s="83"/>
      <c r="G30" s="6"/>
      <c r="H30" s="4"/>
      <c r="I30" s="7"/>
      <c r="J30" s="227"/>
      <c r="Q30" s="85">
        <v>6</v>
      </c>
    </row>
    <row r="31" spans="1:17" ht="21" customHeight="1">
      <c r="D31" s="10"/>
      <c r="E31" s="126" t="str">
        <f>"Наименование "&amp;IF(TEMPLATE_GROUP="ROIV","органа тарифного регулирования","ЮЛ / ИП")</f>
        <v>Наименование ЮЛ / ИП</v>
      </c>
      <c r="F31" s="75" t="s">
        <v>46</v>
      </c>
      <c r="G31" s="253"/>
      <c r="Q31" s="4">
        <v>20</v>
      </c>
    </row>
    <row r="32" spans="1:17" ht="21" hidden="1" customHeight="1">
      <c r="D32" s="10"/>
      <c r="E32" s="127" t="s">
        <v>47</v>
      </c>
      <c r="F32" s="75"/>
      <c r="G32" s="253"/>
      <c r="Q32" s="4">
        <v>20</v>
      </c>
    </row>
    <row r="33" spans="1:17" ht="21" customHeight="1">
      <c r="D33" s="10"/>
      <c r="E33" s="126" t="s">
        <v>48</v>
      </c>
      <c r="F33" s="75" t="s">
        <v>49</v>
      </c>
      <c r="G33" s="253"/>
      <c r="Q33" s="4">
        <v>20</v>
      </c>
    </row>
    <row r="34" spans="1:17" ht="21" customHeight="1">
      <c r="D34" s="10"/>
      <c r="E34" s="126" t="s">
        <v>50</v>
      </c>
      <c r="F34" s="75" t="s">
        <v>51</v>
      </c>
      <c r="G34" s="253"/>
      <c r="Q34" s="4">
        <v>20</v>
      </c>
    </row>
    <row r="35" spans="1:17" s="85" customFormat="1" ht="11.45" customHeight="1">
      <c r="A35" s="256"/>
      <c r="B35" s="81"/>
      <c r="C35" s="82"/>
      <c r="D35" s="87"/>
      <c r="E35" s="83"/>
      <c r="F35" s="83"/>
      <c r="G35" s="6"/>
      <c r="H35" s="4"/>
      <c r="I35" s="7"/>
      <c r="J35" s="227"/>
      <c r="Q35" s="85">
        <v>11</v>
      </c>
    </row>
    <row r="36" spans="1:17" ht="19.5" customHeight="1">
      <c r="A36" s="253"/>
      <c r="D36" s="10"/>
      <c r="E36" s="126" t="s">
        <v>52</v>
      </c>
      <c r="F36" s="116" t="s">
        <v>53</v>
      </c>
      <c r="G36" s="6"/>
      <c r="Q36" s="4">
        <v>0</v>
      </c>
    </row>
    <row r="37" spans="1:17" ht="21" customHeight="1">
      <c r="A37" s="253"/>
      <c r="D37" s="10"/>
      <c r="E37" s="126" t="s">
        <v>54</v>
      </c>
      <c r="F37" s="116" t="s">
        <v>55</v>
      </c>
      <c r="G37" s="6"/>
      <c r="Q37" s="4">
        <v>20</v>
      </c>
    </row>
    <row r="38" spans="1:17" s="85" customFormat="1" ht="6.4" customHeight="1">
      <c r="A38" s="256"/>
      <c r="B38" s="81"/>
      <c r="C38" s="82"/>
      <c r="D38" s="83"/>
      <c r="E38" s="84"/>
      <c r="F38" s="84"/>
      <c r="G38" s="6"/>
      <c r="H38" s="4"/>
      <c r="I38" s="7"/>
      <c r="J38" s="43"/>
      <c r="Q38" s="85">
        <v>6</v>
      </c>
    </row>
    <row r="39" spans="1:17" ht="36.75" customHeight="1">
      <c r="A39" s="256"/>
      <c r="D39" s="9"/>
      <c r="E39" s="126" t="s">
        <v>56</v>
      </c>
      <c r="F39" s="69" t="s">
        <v>19</v>
      </c>
      <c r="G39" s="6"/>
      <c r="H39" s="252" t="s">
        <v>23</v>
      </c>
      <c r="Q39" s="4">
        <v>35</v>
      </c>
    </row>
    <row r="40" spans="1:17" s="85" customFormat="1" ht="6.4" hidden="1" customHeight="1">
      <c r="A40" s="255"/>
      <c r="B40" s="81"/>
      <c r="C40" s="82"/>
      <c r="D40" s="83"/>
      <c r="E40" s="84"/>
      <c r="F40" s="84"/>
      <c r="G40" s="6"/>
      <c r="H40" s="4"/>
      <c r="I40" s="7"/>
      <c r="J40" s="43"/>
      <c r="Q40" s="85">
        <v>6</v>
      </c>
    </row>
    <row r="41" spans="1:17" s="4" customFormat="1" ht="26.25" hidden="1" customHeight="1">
      <c r="A41" s="258" t="s">
        <v>27</v>
      </c>
      <c r="B41" s="7"/>
      <c r="C41" s="8"/>
      <c r="D41" s="9"/>
      <c r="E41" s="126" t="str">
        <f>"Дифференциация информации по централизованным системам  "&amp;TEMPLATE_SPHERE_RUS</f>
        <v>Дифференциация информации по централизованным системам  теплоснабжения</v>
      </c>
      <c r="F41" s="69" t="s">
        <v>19</v>
      </c>
      <c r="G41" s="6"/>
      <c r="I41" s="7"/>
      <c r="J41" s="43"/>
      <c r="Q41" s="4">
        <v>0</v>
      </c>
    </row>
    <row r="42" spans="1:17" s="85" customFormat="1" ht="6" hidden="1" customHeight="1">
      <c r="A42" s="255"/>
      <c r="B42" s="81"/>
      <c r="C42" s="82"/>
      <c r="D42" s="83"/>
      <c r="E42" s="84"/>
      <c r="F42" s="84"/>
      <c r="G42" s="6"/>
      <c r="H42" s="4"/>
      <c r="I42" s="7"/>
      <c r="J42" s="227"/>
      <c r="Q42" s="85">
        <v>0</v>
      </c>
    </row>
    <row r="43" spans="1:17" s="4" customFormat="1" ht="27" hidden="1" customHeight="1">
      <c r="A43" s="255"/>
      <c r="B43" s="7"/>
      <c r="C43" s="8"/>
      <c r="D43" s="9"/>
      <c r="E43" s="126" t="s">
        <v>57</v>
      </c>
      <c r="F43" s="69" t="s">
        <v>19</v>
      </c>
      <c r="G43" s="6"/>
      <c r="I43" s="7"/>
      <c r="J43" s="43"/>
      <c r="Q43" s="4">
        <v>0</v>
      </c>
    </row>
    <row r="44" spans="1:17" s="4" customFormat="1" ht="27" hidden="1" customHeight="1">
      <c r="A44" s="255"/>
      <c r="B44" s="7"/>
      <c r="C44" s="8"/>
      <c r="D44" s="9"/>
      <c r="E44" s="126" t="s">
        <v>58</v>
      </c>
      <c r="F44" s="593"/>
      <c r="G44" s="6"/>
      <c r="I44" s="7"/>
      <c r="J44" s="43"/>
      <c r="Q44" s="4">
        <v>0</v>
      </c>
    </row>
    <row r="45" spans="1:17" s="85" customFormat="1" ht="6" hidden="1" customHeight="1">
      <c r="A45" s="255"/>
      <c r="B45" s="81"/>
      <c r="C45" s="82"/>
      <c r="D45" s="83"/>
      <c r="E45" s="84"/>
      <c r="F45" s="84"/>
      <c r="G45" s="6"/>
      <c r="H45" s="4"/>
      <c r="I45" s="7"/>
      <c r="J45" s="43"/>
      <c r="Q45" s="85">
        <v>0</v>
      </c>
    </row>
    <row r="46" spans="1:17" s="85" customFormat="1" ht="24.75" hidden="1" customHeight="1">
      <c r="A46" s="255"/>
      <c r="B46" s="81"/>
      <c r="C46" s="82"/>
      <c r="D46" s="83"/>
      <c r="E46" s="126" t="s">
        <v>59</v>
      </c>
      <c r="F46" s="69" t="s">
        <v>19</v>
      </c>
      <c r="G46" s="6"/>
      <c r="H46" s="4"/>
      <c r="I46" s="7"/>
      <c r="J46" s="43"/>
      <c r="Q46" s="85">
        <v>0</v>
      </c>
    </row>
    <row r="47" spans="1:17" s="4" customFormat="1" ht="24.75" hidden="1" customHeight="1">
      <c r="A47" s="255"/>
      <c r="B47" s="7"/>
      <c r="C47" s="8"/>
      <c r="D47" s="9"/>
      <c r="E47" s="126" t="s">
        <v>60</v>
      </c>
      <c r="F47" s="69" t="s">
        <v>19</v>
      </c>
      <c r="G47" s="6"/>
      <c r="I47" s="7"/>
      <c r="J47" s="43"/>
      <c r="Q47" s="4">
        <v>0</v>
      </c>
    </row>
    <row r="48" spans="1:17" s="85" customFormat="1" ht="6" hidden="1" customHeight="1">
      <c r="A48" s="255"/>
      <c r="B48" s="81"/>
      <c r="C48" s="82"/>
      <c r="D48" s="83"/>
      <c r="E48" s="84"/>
      <c r="F48" s="84"/>
      <c r="G48" s="6"/>
      <c r="H48" s="4"/>
      <c r="I48" s="7"/>
      <c r="J48" s="43"/>
      <c r="Q48" s="85">
        <v>0</v>
      </c>
    </row>
    <row r="49" spans="1:17" ht="29.25" hidden="1" customHeight="1">
      <c r="D49" s="9"/>
      <c r="E49" s="126"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теплоснабжения</v>
      </c>
      <c r="F49" s="69"/>
      <c r="G49" s="6"/>
      <c r="Q49" s="4">
        <v>0</v>
      </c>
    </row>
    <row r="50" spans="1:17" s="85" customFormat="1" ht="6" hidden="1" customHeight="1">
      <c r="A50" s="256"/>
      <c r="B50" s="81"/>
      <c r="C50" s="82"/>
      <c r="D50" s="87"/>
      <c r="E50" s="83"/>
      <c r="F50" s="83"/>
      <c r="G50" s="6"/>
      <c r="H50" s="4"/>
      <c r="I50" s="7"/>
      <c r="J50" s="43"/>
      <c r="Q50" s="85">
        <v>0</v>
      </c>
    </row>
    <row r="51" spans="1:17" s="4" customFormat="1" ht="28.5" hidden="1" customHeight="1">
      <c r="A51" s="257"/>
      <c r="B51" s="7"/>
      <c r="C51" s="8"/>
      <c r="D51" s="7"/>
      <c r="E51" s="126" t="s">
        <v>61</v>
      </c>
      <c r="F51" s="69" t="s">
        <v>19</v>
      </c>
      <c r="I51" s="43"/>
      <c r="J51" s="43"/>
      <c r="P51" s="166"/>
      <c r="Q51" s="4">
        <v>0</v>
      </c>
    </row>
    <row r="52" spans="1:17" s="85" customFormat="1" ht="6" hidden="1" customHeight="1">
      <c r="A52" s="256"/>
      <c r="B52" s="81"/>
      <c r="C52" s="82"/>
      <c r="D52" s="87"/>
      <c r="E52" s="83"/>
      <c r="F52" s="83"/>
      <c r="G52" s="6"/>
      <c r="H52" s="4"/>
      <c r="I52" s="7"/>
      <c r="J52" s="227"/>
      <c r="Q52" s="85">
        <v>0</v>
      </c>
    </row>
    <row r="53" spans="1:17" s="4" customFormat="1" ht="27" hidden="1" customHeight="1">
      <c r="A53" s="257"/>
      <c r="B53" s="7"/>
      <c r="C53" s="8"/>
      <c r="D53" s="7"/>
      <c r="E53" s="126" t="s">
        <v>62</v>
      </c>
      <c r="F53" s="356" t="s">
        <v>19</v>
      </c>
      <c r="I53" s="43"/>
      <c r="J53" s="43"/>
      <c r="P53" s="166"/>
      <c r="Q53" s="4">
        <v>0</v>
      </c>
    </row>
    <row r="54" spans="1:17" s="4" customFormat="1" ht="27" hidden="1" customHeight="1">
      <c r="A54" s="257"/>
      <c r="B54" s="7"/>
      <c r="C54" s="8"/>
      <c r="D54" s="7"/>
      <c r="E54" s="126" t="s">
        <v>63</v>
      </c>
      <c r="F54" s="568"/>
      <c r="I54" s="43"/>
      <c r="J54" s="43"/>
      <c r="P54" s="166"/>
      <c r="Q54" s="4">
        <v>0</v>
      </c>
    </row>
    <row r="55" spans="1:17" s="85" customFormat="1" ht="6" hidden="1" customHeight="1">
      <c r="A55" s="256"/>
      <c r="B55" s="81"/>
      <c r="C55" s="82"/>
      <c r="D55" s="87"/>
      <c r="E55" s="83"/>
      <c r="F55" s="83"/>
      <c r="G55" s="6"/>
      <c r="H55" s="4"/>
      <c r="I55" s="7"/>
      <c r="J55" s="227"/>
      <c r="Q55" s="85">
        <v>0</v>
      </c>
    </row>
    <row r="56" spans="1:17" s="4" customFormat="1" ht="25.5" hidden="1" customHeight="1">
      <c r="A56" s="257"/>
      <c r="B56" s="7"/>
      <c r="C56" s="8"/>
      <c r="D56" s="7"/>
      <c r="E56" s="126" t="s">
        <v>64</v>
      </c>
      <c r="F56" s="356" t="s">
        <v>19</v>
      </c>
      <c r="I56" s="43"/>
      <c r="J56" s="43"/>
      <c r="P56" s="166"/>
      <c r="Q56" s="4">
        <v>0</v>
      </c>
    </row>
    <row r="57" spans="1:17" s="85" customFormat="1" ht="6" hidden="1" customHeight="1">
      <c r="A57" s="256"/>
      <c r="B57" s="81"/>
      <c r="C57" s="82"/>
      <c r="D57" s="87"/>
      <c r="E57" s="83"/>
      <c r="F57" s="83"/>
      <c r="G57" s="6"/>
      <c r="H57" s="4"/>
      <c r="I57" s="7"/>
      <c r="J57" s="227"/>
      <c r="Q57" s="85">
        <v>0</v>
      </c>
    </row>
    <row r="58" spans="1:17" s="4" customFormat="1" ht="15" hidden="1" customHeight="1">
      <c r="A58" s="257"/>
      <c r="B58" s="7"/>
      <c r="C58" s="8"/>
      <c r="D58" s="7"/>
      <c r="E58" s="126" t="s">
        <v>65</v>
      </c>
      <c r="F58" s="356" t="s">
        <v>66</v>
      </c>
      <c r="I58" s="43"/>
      <c r="J58" s="43"/>
      <c r="P58" s="166"/>
      <c r="Q58" s="4">
        <v>0</v>
      </c>
    </row>
    <row r="59" spans="1:17" s="4" customFormat="1" ht="75" hidden="1" customHeight="1">
      <c r="A59" s="257"/>
      <c r="B59" s="7"/>
      <c r="C59" s="8"/>
      <c r="D59" s="7"/>
      <c r="E59" s="126"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теплоснабжения осуществляются по регулируемым ценам (тарифам) (за исключением деятельности по подключению (технологическому присоединению) к системе  теплоснабжения)</v>
      </c>
      <c r="F59" s="356"/>
      <c r="I59" s="43"/>
      <c r="J59" s="43"/>
      <c r="P59" s="166"/>
      <c r="Q59" s="4">
        <v>0</v>
      </c>
    </row>
    <row r="60" spans="1:17" s="4" customFormat="1" ht="15" hidden="1" customHeight="1">
      <c r="A60" s="257"/>
      <c r="B60" s="7"/>
      <c r="C60" s="8"/>
      <c r="D60" s="7"/>
      <c r="E60" s="126" t="s">
        <v>67</v>
      </c>
      <c r="F60" s="116"/>
      <c r="I60" s="43"/>
      <c r="J60" s="43"/>
      <c r="P60" s="166"/>
      <c r="Q60" s="4">
        <v>0</v>
      </c>
    </row>
    <row r="61" spans="1:17" s="85" customFormat="1" ht="6" hidden="1" customHeight="1">
      <c r="A61" s="256"/>
      <c r="B61" s="81"/>
      <c r="C61" s="82"/>
      <c r="D61" s="83"/>
      <c r="E61" s="84"/>
      <c r="F61" s="84"/>
      <c r="G61" s="6"/>
      <c r="H61" s="4"/>
      <c r="I61" s="7"/>
      <c r="J61" s="43"/>
      <c r="Q61" s="85">
        <v>0</v>
      </c>
    </row>
    <row r="62" spans="1:17" s="4" customFormat="1" ht="33.75" hidden="1" customHeight="1">
      <c r="A62" s="256"/>
      <c r="B62" s="7"/>
      <c r="C62" s="8"/>
      <c r="D62" s="9"/>
      <c r="E62" s="126" t="s">
        <v>68</v>
      </c>
      <c r="F62" s="69" t="s">
        <v>66</v>
      </c>
      <c r="G62" s="6"/>
      <c r="H62" s="252" t="s">
        <v>23</v>
      </c>
      <c r="I62" s="7"/>
      <c r="J62" s="43"/>
      <c r="Q62" s="4">
        <v>0</v>
      </c>
    </row>
    <row r="63" spans="1:17" s="85" customFormat="1" ht="6.4" customHeight="1">
      <c r="A63" s="256"/>
      <c r="B63" s="81"/>
      <c r="C63" s="82"/>
      <c r="D63" s="87"/>
      <c r="E63" s="83"/>
      <c r="F63" s="83"/>
      <c r="G63" s="6"/>
      <c r="H63" s="4"/>
      <c r="I63" s="7"/>
      <c r="J63" s="227"/>
      <c r="Q63" s="85">
        <v>6</v>
      </c>
    </row>
    <row r="64" spans="1:17" ht="21" customHeight="1">
      <c r="B64" s="21"/>
      <c r="D64" s="12"/>
      <c r="E64" s="126" t="s">
        <v>69</v>
      </c>
      <c r="F64" s="74" t="s">
        <v>70</v>
      </c>
      <c r="G64" s="6"/>
      <c r="Q64" s="4">
        <v>20</v>
      </c>
    </row>
    <row r="65" spans="1:17" ht="21" customHeight="1">
      <c r="B65" s="21"/>
      <c r="D65" s="12"/>
      <c r="E65" s="126" t="s">
        <v>71</v>
      </c>
      <c r="F65" s="74" t="s">
        <v>72</v>
      </c>
      <c r="G65" s="6"/>
      <c r="Q65" s="4">
        <v>20</v>
      </c>
    </row>
    <row r="66" spans="1:17" ht="36.75" customHeight="1">
      <c r="D66" s="9"/>
      <c r="E66" s="4" t="s">
        <v>73</v>
      </c>
      <c r="G66" s="6"/>
      <c r="Q66" s="4">
        <v>35</v>
      </c>
    </row>
    <row r="67" spans="1:17" ht="21" customHeight="1">
      <c r="D67" s="9"/>
      <c r="E67" s="126" t="s">
        <v>74</v>
      </c>
      <c r="F67" s="74" t="s">
        <v>75</v>
      </c>
      <c r="G67" s="6"/>
      <c r="Q67" s="4">
        <v>20</v>
      </c>
    </row>
    <row r="68" spans="1:17" ht="21" customHeight="1">
      <c r="B68" s="21"/>
      <c r="D68" s="12"/>
      <c r="E68" s="126" t="s">
        <v>76</v>
      </c>
      <c r="F68" s="74" t="s">
        <v>77</v>
      </c>
      <c r="G68" s="6"/>
      <c r="Q68" s="4">
        <v>20</v>
      </c>
    </row>
    <row r="69" spans="1:17" ht="21" customHeight="1">
      <c r="B69" s="21"/>
      <c r="D69" s="12"/>
      <c r="E69" s="126" t="s">
        <v>78</v>
      </c>
      <c r="F69" s="74" t="s">
        <v>79</v>
      </c>
      <c r="G69" s="6"/>
      <c r="Q69" s="4">
        <v>20</v>
      </c>
    </row>
    <row r="70" spans="1:17" ht="21" customHeight="1">
      <c r="D70" s="9"/>
      <c r="E70" s="126" t="s">
        <v>80</v>
      </c>
      <c r="F70" s="74" t="s">
        <v>81</v>
      </c>
      <c r="G70" s="6"/>
      <c r="Q70" s="4">
        <v>20</v>
      </c>
    </row>
    <row r="71" spans="1:17" ht="21" customHeight="1">
      <c r="D71" s="6"/>
      <c r="F71" s="22"/>
      <c r="G71" s="6"/>
      <c r="Q71" s="4">
        <v>20</v>
      </c>
    </row>
    <row r="72" spans="1:17" ht="21" customHeight="1">
      <c r="B72" s="21"/>
      <c r="D72" s="12"/>
      <c r="E72" s="11"/>
      <c r="F72" s="167" t="s">
        <v>13</v>
      </c>
      <c r="G72" s="6"/>
      <c r="Q72" s="4">
        <v>20</v>
      </c>
    </row>
    <row r="73" spans="1:17" ht="21" customHeight="1">
      <c r="B73" s="21"/>
      <c r="D73" s="12"/>
      <c r="E73" s="11"/>
      <c r="F73" s="23"/>
      <c r="G73" s="6"/>
      <c r="Q73" s="4">
        <v>20</v>
      </c>
    </row>
    <row r="74" spans="1:17" ht="21" customHeight="1">
      <c r="B74" s="21"/>
      <c r="D74" s="12"/>
      <c r="E74" s="13"/>
      <c r="F74" s="23"/>
      <c r="G74" s="6"/>
      <c r="Q74" s="4">
        <v>20</v>
      </c>
    </row>
    <row r="75" spans="1:17" ht="21" customHeight="1">
      <c r="B75" s="21"/>
      <c r="D75" s="12"/>
      <c r="E75" s="11"/>
      <c r="F75" s="23"/>
      <c r="G75" s="6"/>
      <c r="Q75" s="4">
        <v>20</v>
      </c>
    </row>
    <row r="76" spans="1:17" ht="11.45" customHeight="1">
      <c r="Q76" s="4">
        <v>11</v>
      </c>
    </row>
    <row r="77" spans="1:17" ht="11.45" customHeight="1">
      <c r="Q77" s="4">
        <v>11</v>
      </c>
    </row>
    <row r="78" spans="1:17" ht="11.45" customHeight="1">
      <c r="E78" s="125"/>
      <c r="F78" s="125"/>
      <c r="G78" s="125"/>
      <c r="H78" s="125"/>
      <c r="I78" s="125"/>
      <c r="Q78" s="4">
        <v>11</v>
      </c>
    </row>
    <row r="79" spans="1:17" ht="11.25" hidden="1" customHeight="1">
      <c r="A79" s="255" t="s">
        <v>82</v>
      </c>
      <c r="B79" s="7">
        <v>0</v>
      </c>
      <c r="C79" s="8">
        <v>3</v>
      </c>
      <c r="D79" s="4">
        <v>1</v>
      </c>
      <c r="E79" s="4">
        <v>55</v>
      </c>
      <c r="F79" s="4">
        <v>54</v>
      </c>
      <c r="G79" s="4">
        <v>1</v>
      </c>
      <c r="H79" s="4">
        <v>0</v>
      </c>
      <c r="I79" s="7">
        <v>59</v>
      </c>
      <c r="J79" s="43">
        <v>0</v>
      </c>
      <c r="K79" s="4">
        <v>8</v>
      </c>
      <c r="L79" s="4">
        <v>77</v>
      </c>
      <c r="M79" s="4">
        <v>8</v>
      </c>
      <c r="N79" s="4">
        <v>8</v>
      </c>
      <c r="O79" s="4">
        <v>8</v>
      </c>
      <c r="P79" s="4">
        <v>8</v>
      </c>
      <c r="Q79" s="4">
        <v>11</v>
      </c>
    </row>
  </sheetData>
  <sheetProtection formatColumns="0" formatRows="0" insertRows="0" deleteColumns="0" deleteRows="0" sort="0" autoFilter="0"/>
  <mergeCells count="3">
    <mergeCell ref="E5:F5"/>
    <mergeCell ref="J18:J19"/>
    <mergeCell ref="A11:A12"/>
  </mergeCells>
  <dataValidations count="13">
    <dataValidation type="textLength" operator="lessThanOrEqual" allowBlank="1" showInputMessage="1" showErrorMessage="1" errorTitle="Ошибка" error="Допускается ввод не более 900 символов!" sqref="F72:F75 F64:F65 F67:F70 F22:F24 F27:F29 F32" xr:uid="{00000000-0002-0000-0100-000000000000}">
      <formula1>900</formula1>
    </dataValidation>
    <dataValidation type="list" allowBlank="1" showInputMessage="1" showErrorMessage="1" errorTitle="Ошибка" error="Выберите значение из списка" prompt="Выберите значение из списка" sqref="F61 F38" xr:uid="{00000000-0002-0000-0100-000001000000}">
      <formula1>kind_of_NDS</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xr:uid="{00000000-0002-0000-0100-000002000000}"/>
    <dataValidation type="list" allowBlank="1" showInputMessage="1" showErrorMessage="1" errorTitle="Ошибка" error="Выберите значение из списка" prompt="Выберите значение из списка" sqref="F17" xr:uid="{00000000-0002-0000-0100-000003000000}">
      <formula1>kind_of_data_type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F10" xr:uid="{00000000-0002-0000-0100-000004000000}"/>
    <dataValidation type="list" allowBlank="1" showInputMessage="1" showErrorMessage="1" errorTitle="Ошибка" error="Выберите значение из списка" prompt="Выберите значение из списка" sqref="F36" xr:uid="{00000000-0002-0000-0100-000005000000}">
      <formula1>kind_of_org_type</formula1>
    </dataValidation>
    <dataValidation type="list" allowBlank="1" showInputMessage="1" showErrorMessage="1" errorTitle="Ошибка" error="Выберите значение из списка" prompt="Выберите значение из списка" sqref="F14" xr:uid="{00000000-0002-0000-0100-000006000000}">
      <formula1>year_list</formula1>
    </dataValidation>
    <dataValidation type="list" allowBlank="1" showInputMessage="1" showErrorMessage="1" errorTitle="Ошибка" error="Выберите значение из списка" prompt="Выберите значение из списка" sqref="F15" xr:uid="{00000000-0002-0000-0100-000007000000}">
      <formula1>QUARTER</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xr:uid="{00000000-0002-0000-0100-000008000000}"/>
    <dataValidation type="list" allowBlank="1" showInputMessage="1" showErrorMessage="1" errorTitle="Ошибка" error="Выберите значение из списка" prompt="Выберите значение из списка" sqref="F60" xr:uid="{00000000-0002-0000-0100-000009000000}">
      <formula1>TITLE_IP_DETAILED_METHOD_LIST</formula1>
    </dataValidation>
    <dataValidation type="list" allowBlank="1" showInputMessage="1" showErrorMessage="1" errorTitle="Ошибка" error="Выберите значение из списка" prompt="Выберите значение из списка" sqref="F9" xr:uid="{00000000-0002-0000-0100-00000A000000}">
      <formula1>ROIV_INFO_LIST</formula1>
    </dataValidation>
    <dataValidation allowBlank="1" showInputMessage="1" showErrorMessage="1" prompt="Выбор организации двойным щелчком левой клавиши мыши" sqref="F31" xr:uid="{00000000-0002-0000-0100-00000B000000}"/>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xr:uid="{00000000-0002-0000-0100-00000C000000}">
      <formula1>kind_of_NDS</formula1>
    </dataValidation>
  </dataValidations>
  <hyperlinks>
    <hyperlink ref="H11" location="Титульный!H9" tooltip="Помощь по работе с полями отчётной формы" display="Как заполнить?" xr:uid="{E64FF2B4-8217-14E5-A052-B13D82077228}"/>
    <hyperlink ref="H17" location="Титульный!H9" tooltip="Помощь по работе с полями отчётной формы" display="Как заполнить?" xr:uid="{FEA8712D-F2BC-83F9-71B6-272C425E0CB7}"/>
    <hyperlink ref="H39" location="Титульный!H9" tooltip="Помощь по работе с полями отчётной формы" display="Как заполнить?" xr:uid="{A783DE0F-AFB8-3776-4155-B4758EF28A7C}"/>
    <hyperlink ref="H62" location="Титульный!H9" tooltip="Помощь по работе с полями отчётной формы" display="Как заполнить?" xr:uid="{271C00F4-4C1D-9904-28BA-7EBFDE49B454}"/>
  </hyperlinks>
  <pageMargins left="0.75" right="0.75" top="1" bottom="1" header="0.5" footer="0.5"/>
  <pageSetup paperSize="8" orientation="portrait"/>
  <headerFooter>
    <oddHeader>&amp;L&amp;C&amp;R</oddHeader>
    <oddFooter>&amp;L&amp;C&amp;R</oddFooter>
    <evenHeader>&amp;L&amp;C&amp;R</evenHeader>
    <evenFooter>&amp;L&amp;C&amp;R</evenFooter>
  </headerFooter>
  <drawing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6D30D3-C439-D2D1-3F38-20001E043104}">
  <sheetPr>
    <tabColor rgb="FFCCCCFF"/>
    <pageSetUpPr fitToPage="1"/>
  </sheetPr>
  <dimension ref="A1:AC29"/>
  <sheetViews>
    <sheetView showGridLines="0" zoomScale="90" workbookViewId="0">
      <pane xSplit="6" ySplit="11" topLeftCell="G12" activePane="bottomRight" state="frozen"/>
      <selection pane="topRight" activeCell="G1" sqref="G1"/>
      <selection pane="bottomLeft" activeCell="A12" sqref="A12"/>
      <selection pane="bottomRight" activeCell="G13" sqref="G13"/>
    </sheetView>
  </sheetViews>
  <sheetFormatPr defaultColWidth="9.140625" defaultRowHeight="14.25" customHeight="1"/>
  <cols>
    <col min="1" max="1" width="8" style="4" hidden="1" customWidth="1"/>
    <col min="2" max="2" width="6" style="43" hidden="1" customWidth="1"/>
    <col min="3" max="3" width="3" style="4" customWidth="1"/>
    <col min="4" max="4" width="3" style="16" customWidth="1"/>
    <col min="5" max="5" width="6" style="4" customWidth="1"/>
    <col min="6" max="6" width="2.7109375" style="4" hidden="1" customWidth="1"/>
    <col min="7" max="7" width="46.7109375" style="4" customWidth="1"/>
    <col min="8" max="8" width="42" style="4" customWidth="1"/>
    <col min="9" max="9" width="14" style="4" customWidth="1"/>
    <col min="10" max="10" width="3" style="46" customWidth="1"/>
    <col min="11" max="13" width="9.140625" style="46" hidden="1"/>
    <col min="14" max="14" width="25.7109375" style="46" hidden="1" customWidth="1"/>
    <col min="15" max="15" width="14.42578125" style="46" hidden="1" customWidth="1"/>
    <col min="16" max="19" width="9.140625" style="78" hidden="1"/>
    <col min="20" max="27" width="9.140625" style="4" hidden="1"/>
    <col min="28" max="28" width="8" style="4" customWidth="1"/>
    <col min="29" max="29" width="9.140625" style="4" hidden="1"/>
  </cols>
  <sheetData>
    <row r="1" spans="1:29" s="46" customFormat="1" ht="5.25" hidden="1" customHeight="1">
      <c r="A1" s="117"/>
      <c r="G1" s="46" t="s">
        <v>83</v>
      </c>
      <c r="H1" s="46" t="s">
        <v>84</v>
      </c>
      <c r="I1" s="46" t="s">
        <v>85</v>
      </c>
      <c r="J1" s="46" t="s">
        <v>83</v>
      </c>
      <c r="AC1" s="46" t="s">
        <v>14</v>
      </c>
    </row>
    <row r="2" spans="1:29" s="79" customFormat="1" ht="11.25" customHeight="1">
      <c r="A2" s="4"/>
      <c r="B2" s="43"/>
      <c r="C2" s="43"/>
      <c r="E2" s="43"/>
      <c r="F2" s="43"/>
      <c r="G2" s="43"/>
      <c r="H2" s="43"/>
      <c r="I2" s="43"/>
      <c r="J2" s="46"/>
      <c r="K2" s="46"/>
      <c r="L2" s="46"/>
      <c r="M2" s="46"/>
      <c r="N2" s="46"/>
      <c r="O2" s="46"/>
      <c r="P2" s="80"/>
      <c r="Q2" s="80"/>
      <c r="R2" s="80"/>
      <c r="S2" s="80"/>
      <c r="AC2" s="79">
        <v>11</v>
      </c>
    </row>
    <row r="3" spans="1:29" s="32" customFormat="1" ht="3" customHeight="1">
      <c r="A3" s="4"/>
      <c r="B3" s="43"/>
      <c r="C3" s="4"/>
      <c r="D3" s="16"/>
      <c r="E3" s="4"/>
      <c r="F3" s="4"/>
      <c r="G3" s="4"/>
      <c r="H3" s="4"/>
      <c r="I3" s="4"/>
      <c r="J3" s="46"/>
      <c r="K3" s="46"/>
      <c r="L3" s="46"/>
      <c r="M3" s="46"/>
      <c r="N3" s="46"/>
      <c r="O3" s="46"/>
      <c r="P3" s="78"/>
      <c r="Q3" s="78"/>
      <c r="R3" s="78"/>
      <c r="S3" s="78"/>
      <c r="AC3" s="32">
        <v>3</v>
      </c>
    </row>
    <row r="4" spans="1:29" s="32" customFormat="1" ht="27.4" customHeight="1">
      <c r="A4" s="4"/>
      <c r="B4" s="43"/>
      <c r="C4" s="4"/>
      <c r="D4" s="16"/>
      <c r="E4" s="666" t="str">
        <f>NameTemplatesInListMO</f>
        <v>Перечень муниципальных районов и муниципальных образований (территорий действия тарифа)</v>
      </c>
      <c r="F4" s="666"/>
      <c r="G4" s="666"/>
      <c r="H4" s="666"/>
      <c r="I4" s="666"/>
      <c r="J4" s="46"/>
      <c r="K4" s="46"/>
      <c r="L4" s="46"/>
      <c r="M4" s="46"/>
      <c r="N4" s="46"/>
      <c r="O4" s="46"/>
      <c r="P4" s="78"/>
      <c r="Q4" s="78"/>
      <c r="R4" s="78"/>
      <c r="S4" s="78"/>
      <c r="AC4" s="32">
        <v>26</v>
      </c>
    </row>
    <row r="5" spans="1:29" s="32" customFormat="1" ht="3" customHeight="1">
      <c r="A5" s="4"/>
      <c r="B5" s="43"/>
      <c r="C5" s="4"/>
      <c r="D5" s="16"/>
      <c r="E5" s="4"/>
      <c r="F5" s="4"/>
      <c r="G5" s="51"/>
      <c r="H5" s="51"/>
      <c r="I5" s="4"/>
      <c r="J5" s="46"/>
      <c r="K5" s="46"/>
      <c r="L5" s="46"/>
      <c r="M5" s="46"/>
      <c r="N5" s="46"/>
      <c r="O5" s="46"/>
      <c r="P5" s="78"/>
      <c r="Q5" s="78"/>
      <c r="R5" s="78"/>
      <c r="S5" s="78"/>
      <c r="AC5" s="32">
        <v>3</v>
      </c>
    </row>
    <row r="6" spans="1:29" s="32" customFormat="1" ht="20.25" hidden="1" customHeight="1">
      <c r="A6" s="4"/>
      <c r="B6" s="43"/>
      <c r="C6" s="4"/>
      <c r="D6" s="16"/>
      <c r="E6" s="23"/>
      <c r="F6" s="23"/>
      <c r="G6" s="51"/>
      <c r="H6" s="51"/>
      <c r="I6" s="51"/>
      <c r="J6" s="46"/>
      <c r="K6" s="46"/>
      <c r="L6" s="46"/>
      <c r="M6" s="46"/>
      <c r="N6" s="46"/>
      <c r="O6" s="46"/>
      <c r="P6" s="78"/>
      <c r="Q6" s="78"/>
      <c r="R6" s="78"/>
      <c r="S6" s="78"/>
      <c r="AC6" s="32">
        <v>0</v>
      </c>
    </row>
    <row r="7" spans="1:29" ht="25.5" hidden="1" customHeight="1">
      <c r="AC7" s="4">
        <v>0</v>
      </c>
    </row>
    <row r="8" spans="1:29" s="32" customFormat="1" ht="14.65" customHeight="1">
      <c r="A8" s="4"/>
      <c r="B8" s="43"/>
      <c r="C8" s="4"/>
      <c r="D8" s="16"/>
      <c r="E8" s="662" t="s">
        <v>86</v>
      </c>
      <c r="F8" s="666"/>
      <c r="G8" s="661"/>
      <c r="H8" s="667" t="s">
        <v>87</v>
      </c>
      <c r="I8" s="667"/>
      <c r="J8" s="46"/>
      <c r="K8" s="46"/>
      <c r="L8" s="46"/>
      <c r="M8" s="46"/>
      <c r="N8" s="46"/>
      <c r="O8" s="46"/>
      <c r="P8" s="78"/>
      <c r="Q8" s="78"/>
      <c r="R8" s="78"/>
      <c r="S8" s="78"/>
      <c r="AC8" s="32">
        <v>14</v>
      </c>
    </row>
    <row r="9" spans="1:29" s="32" customFormat="1" ht="21" customHeight="1">
      <c r="A9" s="4"/>
      <c r="B9" s="43"/>
      <c r="C9" s="4"/>
      <c r="D9" s="16"/>
      <c r="E9" s="254" t="s">
        <v>88</v>
      </c>
      <c r="F9" s="254"/>
      <c r="G9" s="52" t="s">
        <v>89</v>
      </c>
      <c r="H9" s="52" t="s">
        <v>89</v>
      </c>
      <c r="I9" s="52" t="s">
        <v>85</v>
      </c>
      <c r="J9" s="46"/>
      <c r="K9" s="46"/>
      <c r="L9" s="46"/>
      <c r="M9" s="46"/>
      <c r="N9" s="46"/>
      <c r="O9" s="46"/>
      <c r="P9" s="78"/>
      <c r="Q9" s="78"/>
      <c r="R9" s="78"/>
      <c r="S9" s="78"/>
      <c r="AC9" s="32">
        <v>20</v>
      </c>
    </row>
    <row r="10" spans="1:29" ht="11.45" customHeight="1">
      <c r="D10" s="56"/>
      <c r="E10" s="76" t="s">
        <v>90</v>
      </c>
      <c r="F10" s="76"/>
      <c r="G10" s="76" t="s">
        <v>91</v>
      </c>
      <c r="H10" s="76" t="s">
        <v>92</v>
      </c>
      <c r="I10" s="76" t="s">
        <v>93</v>
      </c>
      <c r="J10" s="43"/>
      <c r="K10" s="43"/>
      <c r="L10" s="43"/>
      <c r="M10" s="43"/>
      <c r="N10" s="43"/>
      <c r="O10" s="43"/>
      <c r="P10" s="77"/>
      <c r="Q10" s="77"/>
      <c r="R10" s="77"/>
      <c r="S10" s="77"/>
      <c r="AC10" s="4">
        <v>11</v>
      </c>
    </row>
    <row r="11" spans="1:29" s="32" customFormat="1" ht="1.1499999999999999" customHeight="1">
      <c r="A11" s="4"/>
      <c r="B11" s="43"/>
      <c r="C11" s="4"/>
      <c r="D11" s="16"/>
      <c r="E11" s="259"/>
      <c r="F11" s="259"/>
      <c r="G11" s="53"/>
      <c r="H11" s="53"/>
      <c r="I11" s="55"/>
      <c r="J11" s="89" t="s">
        <v>94</v>
      </c>
      <c r="K11" s="46"/>
      <c r="L11" s="46"/>
      <c r="M11" s="46" t="s">
        <v>95</v>
      </c>
      <c r="N11" s="46" t="s">
        <v>96</v>
      </c>
      <c r="O11" s="46" t="s">
        <v>97</v>
      </c>
      <c r="P11" s="78"/>
      <c r="Q11" s="78"/>
      <c r="R11" s="78"/>
      <c r="S11" s="78"/>
      <c r="AC11" s="32">
        <v>1</v>
      </c>
    </row>
    <row r="12" spans="1:29" s="32" customFormat="1" ht="15" customHeight="1">
      <c r="A12" s="665">
        <v>1</v>
      </c>
      <c r="B12" s="43"/>
      <c r="C12" s="4"/>
      <c r="D12" s="16"/>
      <c r="E12" s="29">
        <f>A12</f>
        <v>1</v>
      </c>
      <c r="F12" s="174" t="s">
        <v>98</v>
      </c>
      <c r="G12" s="74" t="str">
        <f>"Территория "&amp;E12</f>
        <v>Территория 1</v>
      </c>
      <c r="H12" s="261"/>
      <c r="I12" s="261"/>
      <c r="J12" s="46"/>
      <c r="K12" s="46"/>
      <c r="L12" s="46"/>
      <c r="M12" s="46"/>
      <c r="N12" s="46"/>
      <c r="O12" s="46"/>
      <c r="P12" s="78"/>
      <c r="Q12" s="78"/>
      <c r="R12" s="78"/>
      <c r="S12" s="78"/>
      <c r="AC12" s="32">
        <v>14</v>
      </c>
    </row>
    <row r="13" spans="1:29" ht="15.75" customHeight="1">
      <c r="A13" s="665"/>
      <c r="B13" s="43">
        <v>1</v>
      </c>
      <c r="C13" s="43"/>
      <c r="D13" s="266"/>
      <c r="E13" s="101" t="str">
        <f>A12&amp;"."&amp;B13</f>
        <v>1.1</v>
      </c>
      <c r="F13" s="263" t="s">
        <v>99</v>
      </c>
      <c r="G13" s="262" t="s">
        <v>100</v>
      </c>
      <c r="H13" s="262" t="s">
        <v>101</v>
      </c>
      <c r="I13" s="260" t="s">
        <v>102</v>
      </c>
      <c r="J13" s="46" t="e">
        <f ca="1">MERGEVALUE(G13)</f>
        <v>#NAME?</v>
      </c>
      <c r="M13" s="46" t="str">
        <f t="array" ref="M13">IF(ISERROR(MATCH(MID(N13,1,250),MID(note_ter,1,250),0)),"n","y")</f>
        <v>n</v>
      </c>
      <c r="O13" s="46" t="str">
        <f>H13&amp;"("&amp;I13&amp;")"</f>
        <v>Заречное(69654420)</v>
      </c>
      <c r="P13" s="43"/>
      <c r="Q13" s="43"/>
      <c r="R13" s="135"/>
      <c r="S13" s="43"/>
      <c r="T13" s="43"/>
      <c r="U13" s="43"/>
      <c r="V13" s="43"/>
      <c r="W13" s="43"/>
      <c r="X13" s="46"/>
      <c r="Y13" s="46"/>
      <c r="Z13" s="46"/>
      <c r="AA13" s="46"/>
      <c r="AB13" s="46"/>
      <c r="AC13">
        <v>15</v>
      </c>
    </row>
    <row r="14" spans="1:29" ht="15.75" customHeight="1">
      <c r="A14" s="665"/>
      <c r="C14" s="22"/>
      <c r="D14" s="56"/>
      <c r="E14" s="91"/>
      <c r="F14" s="57"/>
      <c r="G14" s="37" t="s">
        <v>103</v>
      </c>
      <c r="H14" s="54"/>
      <c r="I14" s="102"/>
      <c r="P14" s="43"/>
      <c r="Q14" s="43"/>
      <c r="R14" s="135"/>
      <c r="S14" s="43"/>
      <c r="T14" s="43"/>
      <c r="U14" s="43"/>
      <c r="V14" s="43"/>
      <c r="W14" s="43"/>
      <c r="X14" s="46"/>
      <c r="Y14" s="46"/>
      <c r="Z14" s="46"/>
      <c r="AA14" s="46"/>
      <c r="AB14" s="46"/>
      <c r="AC14">
        <v>15</v>
      </c>
    </row>
    <row r="15" spans="1:29" s="32" customFormat="1" ht="14.65" customHeight="1">
      <c r="A15" s="4"/>
      <c r="B15" s="43"/>
      <c r="C15" s="4"/>
      <c r="D15" s="16"/>
      <c r="E15" s="184"/>
      <c r="F15" s="58"/>
      <c r="G15" s="37" t="s">
        <v>104</v>
      </c>
      <c r="H15" s="58"/>
      <c r="I15" s="59"/>
      <c r="J15" s="89"/>
      <c r="K15" s="46"/>
      <c r="L15" s="46"/>
      <c r="M15" s="46"/>
      <c r="N15" s="46" t="s">
        <v>105</v>
      </c>
      <c r="O15" s="46"/>
      <c r="P15" s="78"/>
      <c r="Q15" s="78"/>
      <c r="R15" s="78"/>
      <c r="S15" s="78"/>
      <c r="AC15" s="32">
        <v>14</v>
      </c>
    </row>
    <row r="16" spans="1:29" s="32" customFormat="1" ht="21.95" customHeight="1">
      <c r="A16" s="4"/>
      <c r="B16" s="43"/>
      <c r="C16" s="4"/>
      <c r="D16" s="16"/>
      <c r="E16" s="60"/>
      <c r="F16" s="60"/>
      <c r="G16" s="60"/>
      <c r="H16" s="60"/>
      <c r="I16" s="60"/>
      <c r="J16" s="46"/>
      <c r="K16" s="46"/>
      <c r="L16" s="46"/>
      <c r="M16" s="46"/>
      <c r="N16" s="46"/>
      <c r="O16" s="46"/>
      <c r="P16" s="78"/>
      <c r="Q16" s="78"/>
      <c r="R16" s="78"/>
      <c r="S16" s="78"/>
      <c r="AC16" s="32">
        <v>21</v>
      </c>
    </row>
    <row r="17" spans="1:29" s="32" customFormat="1" ht="14.65" customHeight="1">
      <c r="A17" s="4"/>
      <c r="B17" s="43"/>
      <c r="C17" s="4"/>
      <c r="D17" s="16"/>
      <c r="E17" s="4"/>
      <c r="F17" s="4"/>
      <c r="G17" s="4"/>
      <c r="H17" s="4"/>
      <c r="I17" s="4"/>
      <c r="J17" s="46"/>
      <c r="K17" s="46"/>
      <c r="L17" s="46"/>
      <c r="M17" s="46"/>
      <c r="N17" s="46"/>
      <c r="O17" s="46"/>
      <c r="P17" s="78"/>
      <c r="Q17" s="78"/>
      <c r="R17" s="78"/>
      <c r="S17" s="78"/>
      <c r="AC17" s="32">
        <v>14</v>
      </c>
    </row>
    <row r="18" spans="1:29" s="32" customFormat="1" ht="1.1499999999999999" customHeight="1">
      <c r="A18" s="4"/>
      <c r="B18" s="43"/>
      <c r="C18" s="4"/>
      <c r="D18" s="16"/>
      <c r="E18" s="4"/>
      <c r="F18" s="4"/>
      <c r="G18" s="4"/>
      <c r="H18" s="4"/>
      <c r="I18" s="4"/>
      <c r="J18" s="46"/>
      <c r="K18" s="46"/>
      <c r="L18" s="46"/>
      <c r="M18" s="46"/>
      <c r="N18" s="46"/>
      <c r="O18" s="46"/>
      <c r="P18" s="78"/>
      <c r="Q18" s="78"/>
      <c r="R18" s="78"/>
      <c r="S18" s="78"/>
      <c r="AC18" s="32">
        <v>1</v>
      </c>
    </row>
    <row r="19" spans="1:29" s="39" customFormat="1" ht="10.5" customHeight="1">
      <c r="B19" s="277"/>
      <c r="D19" s="61"/>
      <c r="J19" s="46"/>
      <c r="K19" s="46"/>
      <c r="L19" s="46"/>
      <c r="M19" s="46"/>
      <c r="N19" s="46"/>
      <c r="O19" s="46"/>
      <c r="P19" s="78"/>
      <c r="Q19" s="78"/>
      <c r="R19" s="78"/>
      <c r="S19" s="78"/>
      <c r="AC19" s="39">
        <v>10</v>
      </c>
    </row>
    <row r="20" spans="1:29" s="39" customFormat="1" ht="10.5" customHeight="1">
      <c r="B20" s="277"/>
      <c r="D20" s="61"/>
      <c r="J20" s="46"/>
      <c r="K20" s="46"/>
      <c r="L20" s="46"/>
      <c r="M20" s="46"/>
      <c r="N20" s="46"/>
      <c r="O20" s="46"/>
      <c r="P20" s="78"/>
      <c r="Q20" s="78"/>
      <c r="R20" s="78"/>
      <c r="S20" s="78"/>
      <c r="AC20" s="39">
        <v>10</v>
      </c>
    </row>
    <row r="21" spans="1:29" ht="14.65" customHeight="1">
      <c r="AC21" s="4">
        <v>14</v>
      </c>
    </row>
    <row r="22" spans="1:29" ht="14.65" customHeight="1">
      <c r="AC22" s="4">
        <v>14</v>
      </c>
    </row>
    <row r="23" spans="1:29" ht="14.65" customHeight="1">
      <c r="AC23" s="4">
        <v>14</v>
      </c>
    </row>
    <row r="24" spans="1:29" ht="14.65" customHeight="1">
      <c r="H24" s="2"/>
      <c r="AC24" s="4">
        <v>14</v>
      </c>
    </row>
    <row r="25" spans="1:29" ht="14.65" customHeight="1">
      <c r="AC25" s="4">
        <v>14</v>
      </c>
    </row>
    <row r="26" spans="1:29" ht="14.65" customHeight="1">
      <c r="AC26" s="4">
        <v>14</v>
      </c>
    </row>
    <row r="27" spans="1:29" ht="14.65" customHeight="1">
      <c r="AC27" s="4">
        <v>14</v>
      </c>
    </row>
    <row r="28" spans="1:29" ht="14.65" customHeight="1">
      <c r="J28" s="4"/>
      <c r="K28" s="4"/>
      <c r="L28" s="4"/>
      <c r="AC28" s="4">
        <v>14</v>
      </c>
    </row>
    <row r="29" spans="1:29" ht="22.5" hidden="1" customHeight="1">
      <c r="A29" s="4" t="s">
        <v>82</v>
      </c>
      <c r="B29" s="43">
        <v>0</v>
      </c>
      <c r="C29" s="4">
        <v>3</v>
      </c>
      <c r="D29" s="16">
        <v>3</v>
      </c>
      <c r="E29" s="4">
        <v>6</v>
      </c>
      <c r="F29" s="4">
        <v>0</v>
      </c>
      <c r="G29" s="4">
        <v>46</v>
      </c>
      <c r="H29" s="4">
        <v>42</v>
      </c>
      <c r="I29" s="4">
        <v>14</v>
      </c>
      <c r="J29" s="46">
        <v>3</v>
      </c>
      <c r="K29" s="46">
        <v>0</v>
      </c>
      <c r="L29" s="46">
        <v>0</v>
      </c>
      <c r="M29" s="46">
        <v>0</v>
      </c>
      <c r="N29" s="46">
        <v>0</v>
      </c>
      <c r="O29" s="46">
        <v>0</v>
      </c>
      <c r="P29" s="78">
        <v>0</v>
      </c>
      <c r="Q29" s="78">
        <v>0</v>
      </c>
      <c r="R29" s="78">
        <v>0</v>
      </c>
      <c r="S29" s="78">
        <v>0</v>
      </c>
      <c r="T29" s="4">
        <v>0</v>
      </c>
      <c r="U29" s="4">
        <v>0</v>
      </c>
      <c r="V29" s="4">
        <v>0</v>
      </c>
      <c r="W29" s="4">
        <v>0</v>
      </c>
      <c r="X29" s="4">
        <v>0</v>
      </c>
      <c r="Y29" s="4">
        <v>0</v>
      </c>
      <c r="Z29" s="4">
        <v>0</v>
      </c>
      <c r="AA29" s="4">
        <v>0</v>
      </c>
      <c r="AB29" s="4">
        <v>8</v>
      </c>
      <c r="AC29" s="4">
        <v>23</v>
      </c>
    </row>
  </sheetData>
  <sheetProtection formatColumns="0" formatRows="0" insertRows="0" deleteColumns="0" deleteRows="0" sort="0" autoFilter="0"/>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xr:uid="{00000000-0002-0000-0200-000000000000}">
      <formula1>900</formula1>
    </dataValidation>
  </dataValidations>
  <printOptions horizontalCentered="1" verticalCentered="1"/>
  <pageMargins left="0" right="0" top="0" bottom="0" header="0" footer="0.79"/>
  <pageSetup paperSize="9" scale="93" fitToHeight="0"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750532-4958-CAC9-05EF-208BE6E15A37}">
  <sheetPr>
    <tabColor rgb="FFCCCCFF"/>
  </sheetPr>
  <dimension ref="A1:AM20"/>
  <sheetViews>
    <sheetView showGridLines="0" tabSelected="1" zoomScale="90" workbookViewId="0">
      <pane xSplit="4" ySplit="12" topLeftCell="E13" activePane="bottomRight" state="frozen"/>
      <selection pane="topRight" activeCell="E1" sqref="E1"/>
      <selection pane="bottomLeft" activeCell="A13" sqref="A13"/>
      <selection pane="bottomRight" activeCell="J23" sqref="J23"/>
    </sheetView>
  </sheetViews>
  <sheetFormatPr defaultColWidth="9.140625" defaultRowHeight="11.25" customHeight="1"/>
  <cols>
    <col min="1" max="1" width="6.42578125" style="22" hidden="1" customWidth="1"/>
    <col min="2" max="2" width="2" style="22" hidden="1" customWidth="1"/>
    <col min="3" max="3" width="3" style="22" customWidth="1"/>
    <col min="4" max="4" width="4" style="22" customWidth="1"/>
    <col min="5" max="5" width="44" style="22" customWidth="1"/>
    <col min="6" max="6" width="6.42578125" style="22" customWidth="1"/>
    <col min="7" max="7" width="4" style="22" customWidth="1"/>
    <col min="8" max="8" width="5" style="22" customWidth="1"/>
    <col min="9" max="9" width="52" style="22" customWidth="1"/>
    <col min="10" max="10" width="7" style="22" customWidth="1"/>
    <col min="11" max="11" width="3" style="22" customWidth="1"/>
    <col min="12" max="12" width="6" style="22" customWidth="1"/>
    <col min="13" max="13" width="56" style="22" customWidth="1"/>
    <col min="14" max="14" width="8" style="43" customWidth="1"/>
    <col min="15" max="20" width="9.140625" style="46" hidden="1"/>
    <col min="21" max="24" width="9.140625" style="4" hidden="1"/>
    <col min="25" max="37" width="9.140625" style="43" hidden="1"/>
    <col min="38" max="38" width="8" style="43" customWidth="1"/>
    <col min="39" max="39" width="9.140625" style="22" hidden="1"/>
  </cols>
  <sheetData>
    <row r="1" spans="1:39" ht="11.25" hidden="1" customHeight="1">
      <c r="AM1" s="22" t="s">
        <v>14</v>
      </c>
    </row>
    <row r="2" spans="1:39" ht="11.25" hidden="1" customHeight="1">
      <c r="AM2" s="22">
        <v>0</v>
      </c>
    </row>
    <row r="3" spans="1:39" ht="11.45" customHeight="1">
      <c r="AM3" s="22">
        <v>11</v>
      </c>
    </row>
    <row r="4" spans="1:39" ht="35.65" customHeight="1">
      <c r="A4" s="4"/>
      <c r="B4" s="4"/>
      <c r="D4" s="672" t="str">
        <f>Титульный!E5</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E4" s="673"/>
      <c r="F4" s="673"/>
      <c r="G4" s="673"/>
      <c r="H4" s="673"/>
      <c r="I4" s="674"/>
      <c r="J4" s="43"/>
      <c r="K4" s="43"/>
      <c r="L4" s="43"/>
      <c r="M4" s="43"/>
      <c r="AM4" s="22">
        <v>34</v>
      </c>
    </row>
    <row r="5" spans="1:39" s="30" customFormat="1" ht="14.65" customHeight="1">
      <c r="A5" s="4"/>
      <c r="B5" s="4"/>
      <c r="C5" s="4"/>
      <c r="D5" s="675" t="str">
        <f>IF(org=0,"Не определено",org)</f>
        <v>ООО "Восточная Тепловая компания"</v>
      </c>
      <c r="E5" s="676"/>
      <c r="F5" s="676"/>
      <c r="G5" s="676"/>
      <c r="H5" s="676"/>
      <c r="I5" s="677"/>
      <c r="J5" s="191"/>
      <c r="K5" s="191"/>
      <c r="L5" s="191"/>
      <c r="M5" s="191"/>
      <c r="N5" s="191"/>
      <c r="O5" s="47"/>
      <c r="P5" s="47"/>
      <c r="Q5" s="47"/>
      <c r="R5" s="47"/>
      <c r="S5" s="47"/>
      <c r="T5" s="47"/>
      <c r="U5" s="429"/>
      <c r="V5" s="429"/>
      <c r="W5" s="429"/>
      <c r="X5" s="429"/>
      <c r="Y5" s="191"/>
      <c r="Z5" s="191"/>
      <c r="AA5" s="191"/>
      <c r="AB5" s="191"/>
      <c r="AC5" s="191"/>
      <c r="AD5" s="191"/>
      <c r="AE5" s="191"/>
      <c r="AF5" s="191"/>
      <c r="AG5" s="191"/>
      <c r="AH5" s="191"/>
      <c r="AI5" s="191"/>
      <c r="AJ5" s="191"/>
      <c r="AK5" s="191"/>
      <c r="AL5" s="191"/>
      <c r="AM5" s="30">
        <v>14</v>
      </c>
    </row>
    <row r="6" spans="1:39" s="30" customFormat="1" ht="6.4" customHeight="1">
      <c r="A6" s="665"/>
      <c r="B6" s="665"/>
      <c r="C6" s="665"/>
      <c r="D6" s="665"/>
      <c r="E6" s="665"/>
      <c r="F6" s="665"/>
      <c r="G6" s="4"/>
      <c r="H6" s="4"/>
      <c r="I6" s="4"/>
      <c r="J6" s="4"/>
      <c r="K6" s="4"/>
      <c r="N6" s="191"/>
      <c r="O6" s="47"/>
      <c r="P6" s="47"/>
      <c r="Q6" s="47"/>
      <c r="R6" s="47"/>
      <c r="S6" s="47"/>
      <c r="T6" s="47"/>
      <c r="U6" s="429"/>
      <c r="V6" s="429"/>
      <c r="W6" s="429"/>
      <c r="X6" s="429"/>
      <c r="Y6" s="191"/>
      <c r="Z6" s="191"/>
      <c r="AA6" s="191"/>
      <c r="AB6" s="191"/>
      <c r="AC6" s="191"/>
      <c r="AD6" s="191"/>
      <c r="AE6" s="191"/>
      <c r="AF6" s="191"/>
      <c r="AG6" s="191"/>
      <c r="AH6" s="191"/>
      <c r="AI6" s="191"/>
      <c r="AJ6" s="191"/>
      <c r="AK6" s="191"/>
      <c r="AL6" s="191"/>
      <c r="AM6" s="30">
        <v>6</v>
      </c>
    </row>
    <row r="7" spans="1:39" ht="45.75" hidden="1" customHeight="1">
      <c r="E7" s="682"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теплоснабжения для каждой системы теплоснабжениядолжна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теплоснабжениябудут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682"/>
      <c r="G7" s="682"/>
      <c r="H7" s="682"/>
      <c r="I7" s="682"/>
      <c r="J7" s="682"/>
      <c r="K7" s="682"/>
      <c r="L7" s="682"/>
      <c r="M7" s="682"/>
      <c r="AM7" s="22">
        <v>0</v>
      </c>
    </row>
    <row r="8" spans="1:39" s="30" customFormat="1" ht="6.4" customHeight="1">
      <c r="A8" s="71"/>
      <c r="B8" s="71"/>
      <c r="C8" s="71"/>
      <c r="D8" s="71"/>
      <c r="E8" s="71"/>
      <c r="F8" s="71"/>
      <c r="G8" s="71"/>
      <c r="H8" s="71"/>
      <c r="I8" s="71"/>
      <c r="J8" s="71"/>
      <c r="K8" s="71"/>
      <c r="L8" s="71"/>
      <c r="N8" s="191"/>
      <c r="O8" s="47"/>
      <c r="P8" s="47"/>
      <c r="Q8" s="47"/>
      <c r="R8" s="47"/>
      <c r="S8" s="47"/>
      <c r="T8" s="47"/>
      <c r="U8" s="429"/>
      <c r="V8" s="429"/>
      <c r="W8" s="429"/>
      <c r="X8" s="429"/>
      <c r="Y8" s="191"/>
      <c r="Z8" s="191"/>
      <c r="AA8" s="191"/>
      <c r="AB8" s="191"/>
      <c r="AC8" s="191"/>
      <c r="AD8" s="191"/>
      <c r="AE8" s="191"/>
      <c r="AF8" s="191"/>
      <c r="AG8" s="191"/>
      <c r="AH8" s="191"/>
      <c r="AI8" s="191"/>
      <c r="AJ8" s="191"/>
      <c r="AK8" s="191"/>
      <c r="AL8" s="191"/>
      <c r="AM8" s="30">
        <v>6</v>
      </c>
    </row>
    <row r="9" spans="1:39" ht="18.75" customHeight="1">
      <c r="A9" s="678"/>
      <c r="B9" s="4"/>
      <c r="C9" s="4"/>
      <c r="D9" s="679" t="s">
        <v>106</v>
      </c>
      <c r="E9" s="679"/>
      <c r="F9" s="680" t="s">
        <v>107</v>
      </c>
      <c r="G9" s="681"/>
      <c r="H9" s="681"/>
      <c r="I9" s="681"/>
      <c r="J9" s="683" t="s">
        <v>108</v>
      </c>
      <c r="K9" s="683"/>
      <c r="L9" s="683"/>
      <c r="M9" s="683"/>
      <c r="AM9" s="22">
        <v>18</v>
      </c>
    </row>
    <row r="10" spans="1:39" ht="24" customHeight="1">
      <c r="A10" s="678"/>
      <c r="B10" s="4"/>
      <c r="C10" s="165"/>
      <c r="D10" s="29" t="s">
        <v>88</v>
      </c>
      <c r="E10" s="29" t="s">
        <v>89</v>
      </c>
      <c r="F10" s="29" t="s">
        <v>109</v>
      </c>
      <c r="G10" s="684" t="s">
        <v>88</v>
      </c>
      <c r="H10" s="685"/>
      <c r="I10" s="29" t="s">
        <v>89</v>
      </c>
      <c r="J10" s="29" t="s">
        <v>109</v>
      </c>
      <c r="K10" s="684" t="s">
        <v>88</v>
      </c>
      <c r="L10" s="685"/>
      <c r="M10" s="29" t="s">
        <v>89</v>
      </c>
      <c r="N10" s="269"/>
      <c r="AM10" s="22">
        <v>23</v>
      </c>
    </row>
    <row r="11" spans="1:39" s="22" customFormat="1" ht="11.25" hidden="1" customHeight="1">
      <c r="A11" s="192"/>
      <c r="B11" s="192"/>
      <c r="C11" s="192"/>
      <c r="D11" s="193" t="s">
        <v>110</v>
      </c>
      <c r="E11" s="193" t="s">
        <v>111</v>
      </c>
      <c r="F11" s="193" t="s">
        <v>90</v>
      </c>
      <c r="G11" s="668" t="s">
        <v>91</v>
      </c>
      <c r="H11" s="669"/>
      <c r="I11" s="193" t="s">
        <v>112</v>
      </c>
      <c r="J11" s="193" t="s">
        <v>92</v>
      </c>
      <c r="K11" s="670" t="s">
        <v>93</v>
      </c>
      <c r="L11" s="671"/>
      <c r="M11" s="193" t="s">
        <v>113</v>
      </c>
      <c r="N11" s="269"/>
      <c r="O11" s="46"/>
      <c r="P11" s="46"/>
      <c r="Q11" s="46"/>
      <c r="R11" s="46"/>
      <c r="S11" s="46"/>
      <c r="T11" s="46"/>
      <c r="U11" s="4"/>
      <c r="V11" s="4"/>
      <c r="W11" s="4"/>
      <c r="X11" s="4"/>
      <c r="Y11" s="43"/>
      <c r="Z11" s="43"/>
      <c r="AA11" s="43"/>
      <c r="AB11" s="43"/>
      <c r="AC11" s="43"/>
      <c r="AD11" s="43"/>
      <c r="AE11" s="43"/>
      <c r="AF11" s="43"/>
      <c r="AG11" s="43"/>
      <c r="AH11" s="43"/>
      <c r="AI11" s="43"/>
      <c r="AJ11" s="43"/>
      <c r="AK11" s="43"/>
      <c r="AL11" s="43"/>
      <c r="AM11" s="22">
        <v>0</v>
      </c>
    </row>
    <row r="12" spans="1:39" ht="1.1499999999999999" customHeight="1">
      <c r="A12" s="46"/>
      <c r="B12" s="4"/>
      <c r="C12" s="4"/>
      <c r="D12" s="28"/>
      <c r="E12" s="58"/>
      <c r="F12" s="58"/>
      <c r="G12" s="359"/>
      <c r="H12" s="359"/>
      <c r="I12" s="58"/>
      <c r="J12" s="58"/>
      <c r="K12" s="54"/>
      <c r="L12" s="58"/>
      <c r="M12" s="194"/>
      <c r="N12" s="269"/>
      <c r="O12" s="46" t="s">
        <v>114</v>
      </c>
      <c r="P12" s="46" t="s">
        <v>115</v>
      </c>
      <c r="Q12" s="46" t="s">
        <v>116</v>
      </c>
      <c r="R12" s="46" t="s">
        <v>117</v>
      </c>
      <c r="AM12" s="22">
        <v>1</v>
      </c>
    </row>
    <row r="13" spans="1:39" s="22" customFormat="1" ht="15.75" customHeight="1">
      <c r="A13"/>
      <c r="B13"/>
      <c r="C13" s="16"/>
      <c r="D13" s="679" t="s">
        <v>110</v>
      </c>
      <c r="E13" s="686" t="str">
        <f>INDEX(VD_NAME_LIST,MATCH("4190064",VD_ID_LIST,0))&amp;"; "&amp;INDEX(VD_NAME_LIST,MATCH("4190068",VD_ID_LIST,0))&amp;"; "&amp;INDEX(VD_NAME_LIST,MATCH("4190070",VD_ID_LIST,0))</f>
        <v>Производство тепловой энергии. Некомбинированная выработка; Передача. Тепловая энергия; Сбыт. Тепловая энергия</v>
      </c>
      <c r="F13" s="687" t="s">
        <v>66</v>
      </c>
      <c r="G13" s="690"/>
      <c r="H13" s="691">
        <v>1</v>
      </c>
      <c r="I13" s="686" t="str">
        <f>IF(U13="","",INDEX(TERRITORY_MR_LIST,MATCH(U13,TERRITORY_LIST_ID,0)))</f>
        <v>Территория 1</v>
      </c>
      <c r="J13" s="688" t="s">
        <v>66</v>
      </c>
      <c r="K13" s="90"/>
      <c r="L13" s="31" t="s">
        <v>110</v>
      </c>
      <c r="M13" s="898" t="s">
        <v>1120</v>
      </c>
      <c r="N13" s="269"/>
      <c r="O13" s="46" t="s">
        <v>118</v>
      </c>
      <c r="P13" s="46" t="str">
        <f>$E$13</f>
        <v>Производство тепловой энергии. Некомбинированная выработка; Передача. Тепловая энергия; Сбыт. Тепловая энергия</v>
      </c>
      <c r="Q13" s="46" t="str">
        <f>IF($F$13="нет","без дифференциации",$I$13)</f>
        <v>Территория 1</v>
      </c>
      <c r="R13" s="46" t="str">
        <f>IF($J$13="нет","без дифференциации",M13)</f>
        <v>д. Кисловка</v>
      </c>
      <c r="S13" s="46"/>
      <c r="T13" s="46"/>
      <c r="U13" s="4" t="s">
        <v>98</v>
      </c>
      <c r="V13" s="4" t="s">
        <v>119</v>
      </c>
      <c r="W13" s="4"/>
      <c r="X13" s="4"/>
      <c r="Y13" s="43" t="s">
        <v>120</v>
      </c>
      <c r="Z13" s="43">
        <v>1705000</v>
      </c>
      <c r="AA13" s="43"/>
      <c r="AB13" s="43"/>
      <c r="AC13" s="43"/>
      <c r="AD13" s="43"/>
      <c r="AE13" s="43"/>
      <c r="AF13" s="43"/>
      <c r="AG13" s="43"/>
      <c r="AH13" s="43"/>
      <c r="AI13" s="43"/>
      <c r="AJ13" s="43"/>
      <c r="AK13" s="43"/>
      <c r="AL13" s="43"/>
      <c r="AM13" s="22">
        <v>15</v>
      </c>
    </row>
    <row r="14" spans="1:39" s="22" customFormat="1" ht="15.75" customHeight="1">
      <c r="A14"/>
      <c r="B14"/>
      <c r="C14" s="56"/>
      <c r="D14" s="679"/>
      <c r="E14" s="689"/>
      <c r="F14" s="688"/>
      <c r="G14" s="690"/>
      <c r="H14" s="691"/>
      <c r="I14" s="687"/>
      <c r="J14" s="688"/>
      <c r="K14" s="91"/>
      <c r="L14" s="57"/>
      <c r="M14" s="26" t="s">
        <v>121</v>
      </c>
      <c r="N14" s="269"/>
      <c r="O14" s="46"/>
      <c r="P14" s="46"/>
      <c r="Q14" s="46"/>
      <c r="R14" s="46"/>
      <c r="S14" s="46"/>
      <c r="T14" s="46"/>
      <c r="U14" s="4"/>
      <c r="V14" s="4"/>
      <c r="W14" s="4"/>
      <c r="X14" s="4"/>
      <c r="Y14" s="43"/>
      <c r="Z14" s="43"/>
      <c r="AA14" s="43"/>
      <c r="AB14" s="43"/>
      <c r="AC14" s="43"/>
      <c r="AD14" s="43"/>
      <c r="AE14" s="43"/>
      <c r="AF14" s="43"/>
      <c r="AG14" s="43"/>
      <c r="AH14" s="43"/>
      <c r="AI14" s="43"/>
      <c r="AJ14" s="43"/>
      <c r="AK14" s="43"/>
      <c r="AL14" s="43"/>
      <c r="AM14" s="22">
        <v>15</v>
      </c>
    </row>
    <row r="15" spans="1:39" s="22" customFormat="1" ht="15.75" customHeight="1">
      <c r="A15"/>
      <c r="B15"/>
      <c r="C15" s="56"/>
      <c r="D15" s="679"/>
      <c r="E15" s="687"/>
      <c r="F15" s="688"/>
      <c r="G15" s="360"/>
      <c r="H15" s="361"/>
      <c r="I15" s="37" t="s">
        <v>122</v>
      </c>
      <c r="J15" s="57"/>
      <c r="K15" s="57"/>
      <c r="L15" s="57"/>
      <c r="M15" s="196"/>
      <c r="N15" s="269"/>
      <c r="O15" s="46"/>
      <c r="P15" s="46"/>
      <c r="Q15" s="46"/>
      <c r="R15" s="46"/>
      <c r="S15" s="46"/>
      <c r="T15" s="46"/>
      <c r="U15" s="4"/>
      <c r="V15" s="4"/>
      <c r="W15" s="4"/>
      <c r="X15" s="4"/>
      <c r="Y15" s="43"/>
      <c r="Z15" s="43"/>
      <c r="AA15" s="43"/>
      <c r="AB15" s="43"/>
      <c r="AC15" s="43"/>
      <c r="AD15" s="43"/>
      <c r="AE15" s="43"/>
      <c r="AF15" s="43"/>
      <c r="AG15" s="43"/>
      <c r="AH15" s="43"/>
      <c r="AI15" s="43"/>
      <c r="AJ15" s="43"/>
      <c r="AK15" s="43"/>
      <c r="AL15" s="43"/>
      <c r="AM15" s="22">
        <v>15</v>
      </c>
    </row>
    <row r="16" spans="1:39" ht="15" customHeight="1">
      <c r="A16"/>
      <c r="B16"/>
      <c r="C16" s="694" t="s">
        <v>123</v>
      </c>
      <c r="D16" s="679" t="s">
        <v>111</v>
      </c>
      <c r="E16" s="686" t="str">
        <f>INDEX(VD_NAME_LIST,MATCH("4190067",VD_ID_LIST,0))&amp;"; "&amp;INDEX(VD_NAME_LIST,MATCH("4190069",VD_ID_LIST,0))&amp;"; "&amp;INDEX(VD_NAME_LIST,MATCH("4190071",VD_ID_LIST,0))</f>
        <v>Производство. Теплоноситель; Передача. Теплоноситель; Сбыт. Теплоноситель</v>
      </c>
      <c r="F16" s="687" t="s">
        <v>66</v>
      </c>
      <c r="G16" s="692"/>
      <c r="H16" s="679">
        <v>1</v>
      </c>
      <c r="I16" s="686" t="str">
        <f>IF(U16="","",INDEX(TERRITORY_MR_LIST,MATCH(U16,TERRITORY_LIST_ID,0)))</f>
        <v/>
      </c>
      <c r="J16" s="688" t="s">
        <v>66</v>
      </c>
      <c r="K16" s="276"/>
      <c r="L16" s="31" t="s">
        <v>110</v>
      </c>
      <c r="M16" s="898" t="s">
        <v>1120</v>
      </c>
      <c r="O16" s="43" t="s">
        <v>124</v>
      </c>
      <c r="P16" s="43" t="str">
        <f>$E$16</f>
        <v>Производство. Теплоноситель; Передача. Теплоноситель; Сбыт. Теплоноситель</v>
      </c>
      <c r="Q16" s="43" t="str">
        <f>IF($F$16="нет","без дифференциации",$I$16)</f>
        <v/>
      </c>
      <c r="R16" s="43" t="str">
        <f>IF($J$16="нет","без дифференциации",$M$16)</f>
        <v>д. Кисловка</v>
      </c>
      <c r="S16" s="43"/>
      <c r="T16" s="43"/>
      <c r="U16" s="135"/>
      <c r="V16" s="43" t="s">
        <v>125</v>
      </c>
      <c r="W16" s="43"/>
      <c r="X16" s="43"/>
      <c r="Y16" s="43" t="s">
        <v>120</v>
      </c>
      <c r="Z16" s="43">
        <v>1705000</v>
      </c>
    </row>
    <row r="17" spans="1:39" ht="15" customHeight="1">
      <c r="A17"/>
      <c r="B17"/>
      <c r="C17" s="695"/>
      <c r="D17" s="679"/>
      <c r="E17" s="689"/>
      <c r="F17" s="688"/>
      <c r="G17" s="693"/>
      <c r="H17" s="679"/>
      <c r="I17" s="687"/>
      <c r="J17" s="688"/>
      <c r="K17" s="91"/>
      <c r="L17" s="57"/>
      <c r="M17" s="26" t="s">
        <v>121</v>
      </c>
      <c r="O17" s="43"/>
      <c r="P17" s="43"/>
      <c r="Q17" s="43"/>
      <c r="R17" s="43"/>
      <c r="S17" s="43"/>
      <c r="T17" s="43"/>
      <c r="U17" s="135"/>
      <c r="V17" s="43"/>
      <c r="W17" s="43"/>
      <c r="X17" s="43"/>
    </row>
    <row r="18" spans="1:39" ht="15" customHeight="1">
      <c r="A18"/>
      <c r="B18"/>
      <c r="C18" s="695"/>
      <c r="D18" s="679"/>
      <c r="E18" s="687"/>
      <c r="F18" s="688"/>
      <c r="G18" s="91"/>
      <c r="H18" s="57"/>
      <c r="I18" s="37" t="s">
        <v>122</v>
      </c>
      <c r="J18" s="57"/>
      <c r="K18" s="57"/>
      <c r="L18" s="57"/>
      <c r="M18" s="196"/>
      <c r="O18" s="43"/>
      <c r="P18" s="43"/>
      <c r="Q18" s="43"/>
      <c r="R18" s="43"/>
      <c r="S18" s="43"/>
      <c r="T18" s="43"/>
      <c r="U18" s="135"/>
      <c r="V18" s="43"/>
      <c r="W18" s="43"/>
      <c r="X18" s="43"/>
    </row>
    <row r="19" spans="1:39" ht="15.75" customHeight="1">
      <c r="A19" s="197"/>
      <c r="B19" s="23"/>
      <c r="C19" s="23"/>
      <c r="D19" s="91"/>
      <c r="E19" s="37" t="s">
        <v>126</v>
      </c>
      <c r="F19" s="57"/>
      <c r="G19" s="57"/>
      <c r="H19" s="57"/>
      <c r="I19" s="57"/>
      <c r="J19" s="57"/>
      <c r="K19" s="57" t="s">
        <v>22</v>
      </c>
      <c r="L19" s="57"/>
      <c r="M19" s="196"/>
      <c r="N19" s="269"/>
      <c r="AM19" s="22">
        <v>15</v>
      </c>
    </row>
    <row r="20" spans="1:39" ht="11.25" hidden="1" customHeight="1">
      <c r="A20" s="22" t="s">
        <v>82</v>
      </c>
      <c r="B20" s="22">
        <v>0</v>
      </c>
      <c r="C20" s="22">
        <v>3</v>
      </c>
      <c r="D20" s="22">
        <v>4</v>
      </c>
      <c r="E20" s="22">
        <v>44</v>
      </c>
      <c r="F20" s="22">
        <v>6</v>
      </c>
      <c r="G20" s="22">
        <v>4</v>
      </c>
      <c r="H20" s="22">
        <v>5</v>
      </c>
      <c r="I20" s="22">
        <v>52</v>
      </c>
      <c r="J20" s="22">
        <v>6</v>
      </c>
      <c r="K20" s="22">
        <v>3</v>
      </c>
      <c r="L20" s="22">
        <v>6</v>
      </c>
      <c r="M20" s="22">
        <v>56</v>
      </c>
      <c r="N20" s="43">
        <v>8</v>
      </c>
      <c r="O20" s="46">
        <v>0</v>
      </c>
      <c r="P20" s="46">
        <v>0</v>
      </c>
      <c r="Q20" s="46">
        <v>0</v>
      </c>
      <c r="R20" s="46">
        <v>0</v>
      </c>
      <c r="S20" s="46">
        <v>0</v>
      </c>
      <c r="T20" s="46">
        <v>0</v>
      </c>
      <c r="U20" s="4">
        <v>0</v>
      </c>
      <c r="V20" s="4">
        <v>0</v>
      </c>
      <c r="W20" s="4">
        <v>0</v>
      </c>
      <c r="X20" s="4">
        <v>0</v>
      </c>
      <c r="Y20" s="43">
        <v>0</v>
      </c>
      <c r="Z20" s="43">
        <v>0</v>
      </c>
      <c r="AA20" s="43">
        <v>0</v>
      </c>
      <c r="AB20" s="43">
        <v>0</v>
      </c>
      <c r="AC20" s="43">
        <v>0</v>
      </c>
      <c r="AD20" s="43">
        <v>0</v>
      </c>
      <c r="AE20" s="43">
        <v>0</v>
      </c>
      <c r="AF20" s="43">
        <v>0</v>
      </c>
      <c r="AG20" s="43">
        <v>0</v>
      </c>
      <c r="AH20" s="43">
        <v>0</v>
      </c>
      <c r="AI20" s="43">
        <v>0</v>
      </c>
      <c r="AJ20" s="43">
        <v>0</v>
      </c>
      <c r="AK20" s="43">
        <v>0</v>
      </c>
      <c r="AL20" s="43">
        <v>8</v>
      </c>
      <c r="AM20" s="22">
        <v>11</v>
      </c>
    </row>
  </sheetData>
  <sheetProtection formatColumns="0" formatRows="0" insertRows="0" deleteColumns="0" deleteRows="0" sort="0" autoFilter="0"/>
  <mergeCells count="27">
    <mergeCell ref="I16:I17"/>
    <mergeCell ref="J16:J17"/>
    <mergeCell ref="C16:C18"/>
    <mergeCell ref="D16:D18"/>
    <mergeCell ref="E16:E18"/>
    <mergeCell ref="F16:F18"/>
    <mergeCell ref="G16:G17"/>
    <mergeCell ref="H16:H17"/>
    <mergeCell ref="I13:I14"/>
    <mergeCell ref="J13:J14"/>
    <mergeCell ref="D13:D15"/>
    <mergeCell ref="E13:E15"/>
    <mergeCell ref="F13:F15"/>
    <mergeCell ref="G13:G14"/>
    <mergeCell ref="H13:H14"/>
    <mergeCell ref="G11:H11"/>
    <mergeCell ref="K11:L11"/>
    <mergeCell ref="D4:I4"/>
    <mergeCell ref="D5:I5"/>
    <mergeCell ref="A6:F6"/>
    <mergeCell ref="A9:A10"/>
    <mergeCell ref="D9:E9"/>
    <mergeCell ref="F9:I9"/>
    <mergeCell ref="E7:M7"/>
    <mergeCell ref="J9:M9"/>
    <mergeCell ref="G10:H10"/>
    <mergeCell ref="K10:L10"/>
  </mergeCells>
  <dataValidations count="1">
    <dataValidation type="textLength" operator="lessThan" allowBlank="1" showInputMessage="1" showErrorMessage="1" error="Допускается ввод не более 900 символов!" sqref="M13 M16" xr:uid="{00000000-0002-0000-0300-000000000000}">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E86966-8CC2-D976-3634-4FD77BD76F92}">
  <sheetPr>
    <tabColor rgb="FFCCCCFF"/>
  </sheetPr>
  <dimension ref="A1:AR146"/>
  <sheetViews>
    <sheetView showGridLines="0" zoomScale="90" workbookViewId="0">
      <pane xSplit="6" ySplit="12" topLeftCell="G13" activePane="bottomRight" state="frozen"/>
      <selection pane="topRight" activeCell="G1" sqref="G1"/>
      <selection pane="bottomLeft" activeCell="A13" sqref="A13"/>
      <selection pane="bottomRight"/>
    </sheetView>
  </sheetViews>
  <sheetFormatPr defaultColWidth="9.140625" defaultRowHeight="11.25" customHeight="1"/>
  <cols>
    <col min="1" max="2" width="3.7109375" style="46" hidden="1" customWidth="1"/>
    <col min="3" max="3" width="3" style="22" customWidth="1"/>
    <col min="4" max="4" width="6" style="22" customWidth="1"/>
    <col min="5" max="5" width="42" style="22" customWidth="1"/>
    <col min="6" max="6" width="15" style="22" customWidth="1"/>
    <col min="7" max="7" width="42" style="22" customWidth="1"/>
    <col min="8" max="8" width="3" style="22" customWidth="1"/>
    <col min="9" max="9" width="5" style="22" customWidth="1"/>
    <col min="10" max="10" width="47" style="22" customWidth="1"/>
    <col min="11" max="12" width="3" style="22" customWidth="1"/>
    <col min="13" max="13" width="5" style="22" customWidth="1"/>
    <col min="14" max="14" width="28" style="22" customWidth="1"/>
    <col min="15" max="16" width="3" style="22" customWidth="1"/>
    <col min="17" max="17" width="5" style="22" customWidth="1"/>
    <col min="18" max="18" width="34" style="22" customWidth="1"/>
    <col min="19" max="20" width="3.7109375" style="22" customWidth="1"/>
    <col min="21" max="21" width="5.7109375" style="22" customWidth="1"/>
    <col min="22" max="22" width="34.42578125" style="22" customWidth="1"/>
    <col min="23" max="23" width="30" style="22" customWidth="1"/>
    <col min="24" max="24" width="3" style="22" customWidth="1"/>
    <col min="25" max="28" width="9.85546875" style="4" hidden="1" customWidth="1"/>
    <col min="29" max="29" width="27" style="4" hidden="1" customWidth="1"/>
    <col min="30" max="30" width="10.5703125" style="4" hidden="1" customWidth="1"/>
    <col min="31" max="31" width="10.7109375" style="4" hidden="1" customWidth="1"/>
    <col min="32" max="32" width="10" style="4" hidden="1" customWidth="1"/>
    <col min="33" max="33" width="12.85546875" style="4" hidden="1" customWidth="1"/>
    <col min="34" max="34" width="24.42578125" style="4" hidden="1" customWidth="1"/>
    <col min="35" max="35" width="15.85546875" style="4" hidden="1" customWidth="1"/>
    <col min="36" max="36" width="19.42578125" style="4" hidden="1" customWidth="1"/>
    <col min="37" max="37" width="11" style="4" hidden="1" customWidth="1"/>
    <col min="38" max="38" width="23.5703125" style="4" hidden="1" customWidth="1"/>
    <col min="39" max="39" width="23.85546875" style="4" hidden="1" customWidth="1"/>
    <col min="40" max="40" width="25.28515625" style="4" hidden="1" customWidth="1"/>
    <col min="41" max="41" width="16.85546875" style="4" hidden="1" customWidth="1"/>
    <col min="42" max="42" width="29.5703125" style="4" hidden="1" customWidth="1"/>
    <col min="43" max="43" width="29.85546875" style="4" hidden="1" customWidth="1"/>
    <col min="44" max="44" width="9.140625" style="22" hidden="1"/>
  </cols>
  <sheetData>
    <row r="1" spans="1:44" ht="11.25" hidden="1" customHeight="1">
      <c r="AR1" s="22" t="s">
        <v>14</v>
      </c>
    </row>
    <row r="2" spans="1:44" ht="11.25" hidden="1" customHeight="1">
      <c r="AR2" s="22">
        <v>0</v>
      </c>
    </row>
    <row r="3" spans="1:44" ht="11.25" hidden="1" customHeight="1">
      <c r="AR3" s="22">
        <v>0</v>
      </c>
    </row>
    <row r="4" spans="1:44" ht="3" customHeight="1">
      <c r="AR4" s="22">
        <v>3</v>
      </c>
    </row>
    <row r="5" spans="1:44" s="30" customFormat="1" ht="30.4" customHeight="1">
      <c r="A5" s="47"/>
      <c r="B5" s="47"/>
      <c r="D5" s="672"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теплоснабжения, в отношении которых предлагаются различные тарифы в сфере  теплоснабжения и горячего водоснабжения с использованием открытых систем теплоснабжения (информация раскрывается отдельно по каждой системе  теплоснабжения)</v>
      </c>
      <c r="E5" s="673"/>
      <c r="F5" s="673"/>
      <c r="G5" s="673"/>
      <c r="H5" s="673"/>
      <c r="I5" s="673"/>
      <c r="J5" s="674"/>
      <c r="K5" s="92"/>
      <c r="L5" s="40"/>
      <c r="M5" s="40"/>
      <c r="N5" s="40"/>
      <c r="O5" s="40"/>
      <c r="P5" s="40"/>
      <c r="Q5" s="40"/>
      <c r="R5" s="40"/>
      <c r="S5" s="40"/>
      <c r="T5" s="40"/>
      <c r="U5" s="40"/>
      <c r="V5" s="40"/>
      <c r="W5" s="40"/>
      <c r="Y5" s="429"/>
      <c r="Z5" s="429"/>
      <c r="AA5" s="429"/>
      <c r="AB5" s="429"/>
      <c r="AC5" s="429"/>
      <c r="AD5" s="429"/>
      <c r="AE5" s="429"/>
      <c r="AF5" s="429"/>
      <c r="AG5" s="429"/>
      <c r="AH5" s="429"/>
      <c r="AI5" s="429"/>
      <c r="AJ5" s="429"/>
      <c r="AK5" s="429"/>
      <c r="AL5" s="429"/>
      <c r="AM5" s="429"/>
      <c r="AN5" s="429"/>
      <c r="AO5" s="429"/>
      <c r="AP5" s="429"/>
      <c r="AQ5" s="429"/>
      <c r="AR5" s="30">
        <v>29</v>
      </c>
    </row>
    <row r="6" spans="1:44" s="30" customFormat="1" ht="14.65" customHeight="1">
      <c r="A6" s="4"/>
      <c r="B6" s="4"/>
      <c r="C6" s="4"/>
      <c r="D6" s="712" t="str">
        <f>IF(org=0,"Не определено",org)</f>
        <v>ООО "Восточная Тепловая компания"</v>
      </c>
      <c r="E6" s="712"/>
      <c r="F6" s="712"/>
      <c r="G6" s="712"/>
      <c r="H6" s="712"/>
      <c r="I6" s="712"/>
      <c r="J6" s="712"/>
      <c r="K6" s="191"/>
      <c r="L6" s="191"/>
      <c r="M6" s="191"/>
      <c r="N6" s="191"/>
      <c r="O6" s="47"/>
      <c r="P6" s="47"/>
      <c r="Q6" s="47"/>
      <c r="R6" s="47"/>
      <c r="S6" s="47"/>
      <c r="T6" s="47"/>
      <c r="U6" s="47"/>
      <c r="V6" s="47"/>
      <c r="W6" s="47"/>
      <c r="X6" s="191"/>
      <c r="Y6" s="429"/>
      <c r="Z6" s="429"/>
      <c r="AA6" s="429"/>
      <c r="AB6" s="429"/>
      <c r="AC6" s="429"/>
      <c r="AD6" s="429"/>
      <c r="AE6" s="429"/>
      <c r="AF6" s="429"/>
      <c r="AG6" s="429"/>
      <c r="AH6" s="429"/>
      <c r="AI6" s="429"/>
      <c r="AJ6" s="429"/>
      <c r="AK6" s="429"/>
      <c r="AL6" s="429"/>
      <c r="AM6" s="429"/>
      <c r="AN6" s="429"/>
      <c r="AO6" s="429"/>
      <c r="AP6" s="429"/>
      <c r="AQ6" s="429"/>
      <c r="AR6" s="30">
        <v>14</v>
      </c>
    </row>
    <row r="7" spans="1:44" s="95" customFormat="1" ht="11.45" customHeight="1">
      <c r="A7" s="46"/>
      <c r="B7" s="46"/>
      <c r="D7" s="709"/>
      <c r="E7" s="710"/>
      <c r="F7" s="710"/>
      <c r="G7" s="710"/>
      <c r="H7" s="710"/>
      <c r="I7" s="710"/>
      <c r="J7" s="711"/>
      <c r="Y7" s="4"/>
      <c r="Z7" s="4"/>
      <c r="AA7" s="4"/>
      <c r="AB7" s="4"/>
      <c r="AC7" s="4"/>
      <c r="AD7" s="4"/>
      <c r="AE7" s="4"/>
      <c r="AF7" s="4"/>
      <c r="AG7" s="4"/>
      <c r="AH7" s="4"/>
      <c r="AI7" s="4"/>
      <c r="AJ7" s="4"/>
      <c r="AK7" s="4"/>
      <c r="AL7" s="4"/>
      <c r="AM7" s="4"/>
      <c r="AN7" s="4"/>
      <c r="AO7" s="4"/>
      <c r="AP7" s="4"/>
      <c r="AQ7" s="4"/>
      <c r="AR7" s="95">
        <v>11</v>
      </c>
    </row>
    <row r="8" spans="1:44" s="30" customFormat="1" ht="1.1499999999999999" customHeight="1">
      <c r="A8" s="47"/>
      <c r="B8" s="47"/>
      <c r="D8" s="71"/>
      <c r="E8" s="71"/>
      <c r="F8" s="71"/>
      <c r="G8" s="71"/>
      <c r="H8" s="71"/>
      <c r="I8" s="71"/>
      <c r="J8" s="71"/>
      <c r="K8" s="71"/>
      <c r="L8" s="71"/>
      <c r="M8" s="71"/>
      <c r="N8" s="71"/>
      <c r="O8" s="71"/>
      <c r="P8" s="71"/>
      <c r="Q8" s="71"/>
      <c r="R8" s="71"/>
      <c r="S8" s="71"/>
      <c r="T8" s="71"/>
      <c r="U8" s="71"/>
      <c r="V8" s="71"/>
      <c r="W8" s="71"/>
      <c r="Y8" s="429"/>
      <c r="Z8" s="429"/>
      <c r="AA8" s="429"/>
      <c r="AB8" s="429"/>
      <c r="AC8" s="429"/>
      <c r="AD8" s="429"/>
      <c r="AE8" s="429"/>
      <c r="AF8" s="429"/>
      <c r="AG8" s="429"/>
      <c r="AH8" s="429"/>
      <c r="AI8" s="429"/>
      <c r="AJ8" s="429"/>
      <c r="AK8" s="429"/>
      <c r="AL8" s="429"/>
      <c r="AM8" s="429"/>
      <c r="AN8" s="429"/>
      <c r="AO8" s="429"/>
      <c r="AP8" s="429"/>
      <c r="AQ8" s="429"/>
      <c r="AR8" s="30">
        <v>1</v>
      </c>
    </row>
    <row r="9" spans="1:44" ht="28.5" customHeight="1">
      <c r="D9" s="679" t="s">
        <v>88</v>
      </c>
      <c r="E9" s="662" t="s">
        <v>127</v>
      </c>
      <c r="F9" s="661"/>
      <c r="G9" s="679" t="s">
        <v>106</v>
      </c>
      <c r="H9" s="679" t="s">
        <v>88</v>
      </c>
      <c r="I9" s="679"/>
      <c r="J9" s="679" t="s">
        <v>128</v>
      </c>
      <c r="K9" s="698" t="s">
        <v>129</v>
      </c>
      <c r="L9" s="698"/>
      <c r="M9" s="698"/>
      <c r="N9" s="698"/>
      <c r="O9" s="698" t="s">
        <v>130</v>
      </c>
      <c r="P9" s="698"/>
      <c r="Q9" s="698"/>
      <c r="R9" s="698"/>
      <c r="S9" s="698" t="s">
        <v>131</v>
      </c>
      <c r="T9" s="698"/>
      <c r="U9" s="698"/>
      <c r="V9" s="698"/>
      <c r="W9" s="679" t="s">
        <v>132</v>
      </c>
      <c r="AR9" s="22">
        <v>27</v>
      </c>
    </row>
    <row r="10" spans="1:44" ht="31.5" customHeight="1">
      <c r="D10" s="679"/>
      <c r="E10" s="29" t="s">
        <v>89</v>
      </c>
      <c r="F10" s="29" t="s">
        <v>133</v>
      </c>
      <c r="G10" s="679"/>
      <c r="H10" s="679"/>
      <c r="I10" s="679"/>
      <c r="J10" s="679"/>
      <c r="K10" s="29" t="s">
        <v>109</v>
      </c>
      <c r="L10" s="679" t="s">
        <v>88</v>
      </c>
      <c r="M10" s="679"/>
      <c r="N10" s="29" t="s">
        <v>134</v>
      </c>
      <c r="O10" s="29" t="s">
        <v>109</v>
      </c>
      <c r="P10" s="679" t="s">
        <v>88</v>
      </c>
      <c r="Q10" s="679"/>
      <c r="R10" s="29" t="s">
        <v>134</v>
      </c>
      <c r="S10" s="29" t="s">
        <v>109</v>
      </c>
      <c r="T10" s="679" t="s">
        <v>88</v>
      </c>
      <c r="U10" s="679"/>
      <c r="V10" s="29" t="s">
        <v>89</v>
      </c>
      <c r="W10" s="679"/>
      <c r="Z10" s="4" t="s">
        <v>135</v>
      </c>
      <c r="AA10" s="4" t="s">
        <v>136</v>
      </c>
      <c r="AB10" s="4" t="s">
        <v>137</v>
      </c>
      <c r="AC10" s="4" t="s">
        <v>138</v>
      </c>
      <c r="AD10" s="4" t="s">
        <v>139</v>
      </c>
      <c r="AE10" s="4" t="s">
        <v>140</v>
      </c>
      <c r="AF10" s="4" t="s">
        <v>141</v>
      </c>
      <c r="AG10" s="4" t="s">
        <v>142</v>
      </c>
      <c r="AH10" s="4" t="s">
        <v>143</v>
      </c>
      <c r="AI10" s="4" t="s">
        <v>144</v>
      </c>
      <c r="AJ10" s="4" t="s">
        <v>145</v>
      </c>
      <c r="AK10" s="4" t="s">
        <v>146</v>
      </c>
      <c r="AL10" s="4" t="s">
        <v>147</v>
      </c>
      <c r="AM10" s="4" t="s">
        <v>148</v>
      </c>
      <c r="AN10" s="4" t="s">
        <v>149</v>
      </c>
      <c r="AO10" s="4" t="s">
        <v>150</v>
      </c>
      <c r="AP10" s="4" t="s">
        <v>151</v>
      </c>
      <c r="AQ10" s="4" t="s">
        <v>152</v>
      </c>
      <c r="AR10" s="22">
        <v>30</v>
      </c>
    </row>
    <row r="11" spans="1:44" s="46" customFormat="1" ht="12" hidden="1" customHeight="1">
      <c r="D11" s="423" t="s">
        <v>110</v>
      </c>
      <c r="E11" s="423" t="s">
        <v>111</v>
      </c>
      <c r="F11" s="423"/>
      <c r="G11" s="423" t="s">
        <v>90</v>
      </c>
      <c r="H11" s="708" t="s">
        <v>112</v>
      </c>
      <c r="I11" s="708"/>
      <c r="J11" s="423" t="s">
        <v>92</v>
      </c>
      <c r="K11" s="423" t="s">
        <v>93</v>
      </c>
      <c r="L11" s="708" t="s">
        <v>113</v>
      </c>
      <c r="M11" s="708"/>
      <c r="N11" s="423" t="s">
        <v>153</v>
      </c>
      <c r="O11" s="423" t="s">
        <v>154</v>
      </c>
      <c r="P11" s="708" t="s">
        <v>155</v>
      </c>
      <c r="Q11" s="708"/>
      <c r="R11" s="423" t="s">
        <v>156</v>
      </c>
      <c r="S11" s="423" t="s">
        <v>155</v>
      </c>
      <c r="T11" s="708" t="s">
        <v>156</v>
      </c>
      <c r="U11" s="708"/>
      <c r="V11" s="423" t="s">
        <v>157</v>
      </c>
      <c r="W11" s="423" t="s">
        <v>158</v>
      </c>
      <c r="Y11" s="4"/>
      <c r="Z11" s="4"/>
      <c r="AA11" s="4"/>
      <c r="AB11" s="4"/>
      <c r="AC11" s="4"/>
      <c r="AD11" s="4"/>
      <c r="AE11" s="4"/>
      <c r="AF11" s="4"/>
      <c r="AG11" s="4"/>
      <c r="AH11" s="4"/>
      <c r="AI11" s="4"/>
      <c r="AJ11" s="4"/>
      <c r="AK11" s="4"/>
      <c r="AL11" s="4"/>
      <c r="AM11" s="4"/>
      <c r="AN11" s="4"/>
      <c r="AO11" s="4"/>
      <c r="AP11" s="4"/>
      <c r="AQ11" s="4"/>
      <c r="AR11" s="46">
        <v>0</v>
      </c>
    </row>
    <row r="12" spans="1:44" ht="14.25" hidden="1" customHeight="1">
      <c r="C12" s="16"/>
      <c r="D12" s="174">
        <v>0</v>
      </c>
      <c r="E12" s="29"/>
      <c r="F12" s="29"/>
      <c r="G12" s="29"/>
      <c r="H12" s="27"/>
      <c r="I12" s="27"/>
      <c r="J12" s="31"/>
      <c r="K12" s="31"/>
      <c r="L12" s="31"/>
      <c r="M12" s="31"/>
      <c r="N12" s="49"/>
      <c r="O12" s="31"/>
      <c r="P12" s="31"/>
      <c r="Q12" s="31"/>
      <c r="R12" s="49"/>
      <c r="S12" s="31"/>
      <c r="T12" s="31"/>
      <c r="U12" s="31"/>
      <c r="V12" s="49"/>
      <c r="W12" s="31"/>
      <c r="AR12" s="22">
        <v>0</v>
      </c>
    </row>
    <row r="13" spans="1:44" s="22" customFormat="1" ht="17.25" hidden="1" customHeight="1">
      <c r="A13" s="108"/>
      <c r="C13" s="16"/>
      <c r="D13" s="698">
        <v>1</v>
      </c>
      <c r="E13" s="679" t="s">
        <v>159</v>
      </c>
      <c r="F13" s="686" t="s">
        <v>19</v>
      </c>
      <c r="G13" s="679"/>
      <c r="H13" s="699"/>
      <c r="I13" s="696"/>
      <c r="J13" s="697"/>
      <c r="K13" s="697"/>
      <c r="L13" s="697"/>
      <c r="M13" s="697"/>
      <c r="N13" s="696"/>
      <c r="O13" s="697"/>
      <c r="P13" s="697"/>
      <c r="Q13" s="697"/>
      <c r="R13" s="696"/>
      <c r="S13" s="697"/>
      <c r="T13" s="470"/>
      <c r="U13" s="470"/>
      <c r="V13" s="469"/>
      <c r="W13" s="438"/>
      <c r="Y13" s="4"/>
      <c r="Z13" s="4"/>
      <c r="AA13" s="4"/>
      <c r="AB13" s="4"/>
      <c r="AC13" s="4" t="s">
        <v>160</v>
      </c>
      <c r="AD13" s="4" t="s">
        <v>161</v>
      </c>
      <c r="AE13" s="4" t="s">
        <v>162</v>
      </c>
      <c r="AF13" s="4" t="s">
        <v>163</v>
      </c>
      <c r="AG13" s="4" t="s">
        <v>164</v>
      </c>
      <c r="AH13" s="4"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4" t="str">
        <f>IF($G$13=0,"",$G$13)</f>
        <v/>
      </c>
      <c r="AJ13" s="4" t="str">
        <f>IF($J$13=0,"",$J$13)</f>
        <v/>
      </c>
      <c r="AK13" s="4" t="str">
        <f>IF($K$13="нет","без дифференциации",IF($N$13=0,"",$N$13))</f>
        <v/>
      </c>
      <c r="AL13" s="4" t="str">
        <f>IF($O$13="нет","без дифференциации",IF($R$13=0,"",$R$13))</f>
        <v/>
      </c>
      <c r="AM13" s="4" t="str">
        <f>IF($S$13="нет","без дифференциации",IF($V$13=0,"",$V$13))</f>
        <v/>
      </c>
      <c r="AN13" s="4">
        <f>$I$13</f>
        <v>0</v>
      </c>
      <c r="AO13" s="4" t="str">
        <f>$I$13&amp;"."&amp;$M$13</f>
        <v>.</v>
      </c>
      <c r="AP13" s="4" t="str">
        <f>$I$13&amp;"."&amp;$M$13&amp;"."&amp;$Q$13</f>
        <v>..</v>
      </c>
      <c r="AQ13" s="4" t="str">
        <f>$I$13&amp;"."&amp;$M$13&amp;"."&amp;$Q$13&amp;"."&amp;$U$13</f>
        <v>...</v>
      </c>
      <c r="AR13" s="22">
        <v>0</v>
      </c>
    </row>
    <row r="14" spans="1:44" s="22" customFormat="1" ht="17.25" hidden="1" customHeight="1">
      <c r="A14" s="108"/>
      <c r="D14" s="698"/>
      <c r="E14" s="679"/>
      <c r="F14" s="689"/>
      <c r="G14" s="679"/>
      <c r="H14" s="700"/>
      <c r="I14" s="682"/>
      <c r="J14" s="665"/>
      <c r="K14" s="665"/>
      <c r="L14" s="665"/>
      <c r="M14" s="665"/>
      <c r="N14" s="682"/>
      <c r="O14" s="665"/>
      <c r="P14" s="665"/>
      <c r="Q14" s="665"/>
      <c r="R14" s="682"/>
      <c r="S14" s="665"/>
      <c r="T14" s="439"/>
      <c r="U14" s="439"/>
      <c r="V14" s="439"/>
      <c r="W14" s="440"/>
      <c r="Y14" s="4"/>
      <c r="Z14" s="4"/>
      <c r="AA14" s="4"/>
      <c r="AB14" s="4"/>
      <c r="AC14" s="4"/>
      <c r="AD14" s="4"/>
      <c r="AE14" s="4"/>
      <c r="AF14" s="4"/>
      <c r="AG14" s="4"/>
      <c r="AH14" s="4"/>
      <c r="AI14" s="4"/>
      <c r="AJ14" s="4"/>
      <c r="AK14" s="4"/>
      <c r="AL14" s="4"/>
      <c r="AM14" s="4"/>
      <c r="AN14" s="4"/>
      <c r="AO14" s="4"/>
      <c r="AP14" s="4"/>
      <c r="AQ14" s="4"/>
      <c r="AR14" s="22">
        <v>0</v>
      </c>
    </row>
    <row r="15" spans="1:44" s="22" customFormat="1" ht="17.25" hidden="1" customHeight="1">
      <c r="A15" s="108"/>
      <c r="C15" s="16"/>
      <c r="D15" s="698"/>
      <c r="E15" s="679"/>
      <c r="F15" s="689"/>
      <c r="G15" s="679"/>
      <c r="H15" s="700"/>
      <c r="I15" s="682"/>
      <c r="J15" s="682"/>
      <c r="K15" s="665"/>
      <c r="L15" s="665"/>
      <c r="M15" s="665"/>
      <c r="N15" s="682"/>
      <c r="O15" s="665"/>
      <c r="P15" s="23"/>
      <c r="Q15" s="439"/>
      <c r="R15" s="439"/>
      <c r="W15" s="440"/>
      <c r="Y15" s="4"/>
      <c r="Z15" s="4"/>
      <c r="AA15" s="4"/>
      <c r="AB15" s="4"/>
      <c r="AC15" s="4"/>
      <c r="AD15" s="4"/>
      <c r="AE15" s="4"/>
      <c r="AF15" s="4"/>
      <c r="AG15" s="4"/>
      <c r="AH15" s="4"/>
      <c r="AI15" s="4"/>
      <c r="AJ15" s="4"/>
      <c r="AK15" s="4"/>
      <c r="AL15" s="4"/>
      <c r="AM15" s="4"/>
      <c r="AN15" s="4"/>
      <c r="AO15" s="4"/>
      <c r="AP15" s="4"/>
      <c r="AQ15" s="4"/>
      <c r="AR15" s="22">
        <v>0</v>
      </c>
    </row>
    <row r="16" spans="1:44" s="22" customFormat="1" ht="17.25" hidden="1" customHeight="1">
      <c r="A16" s="108"/>
      <c r="D16" s="698"/>
      <c r="E16" s="679"/>
      <c r="F16" s="689"/>
      <c r="G16" s="679"/>
      <c r="H16" s="700"/>
      <c r="I16" s="682"/>
      <c r="J16" s="682"/>
      <c r="K16" s="665"/>
      <c r="L16" s="439"/>
      <c r="M16" s="439"/>
      <c r="N16" s="439"/>
      <c r="O16" s="439"/>
      <c r="P16" s="439"/>
      <c r="Q16" s="439"/>
      <c r="R16" s="439"/>
      <c r="W16" s="440"/>
      <c r="Y16" s="4"/>
      <c r="Z16" s="4"/>
      <c r="AA16" s="4"/>
      <c r="AB16" s="4"/>
      <c r="AC16" s="4"/>
      <c r="AD16" s="4"/>
      <c r="AE16" s="4"/>
      <c r="AF16" s="4"/>
      <c r="AG16" s="4"/>
      <c r="AH16" s="4"/>
      <c r="AI16" s="4"/>
      <c r="AJ16" s="4"/>
      <c r="AK16" s="4"/>
      <c r="AL16" s="4"/>
      <c r="AM16" s="4"/>
      <c r="AN16" s="4"/>
      <c r="AO16" s="4"/>
      <c r="AP16" s="4"/>
      <c r="AQ16" s="4"/>
      <c r="AR16" s="22">
        <v>0</v>
      </c>
    </row>
    <row r="17" spans="1:44" s="22" customFormat="1" ht="17.25" hidden="1" customHeight="1">
      <c r="A17" s="108"/>
      <c r="D17" s="698"/>
      <c r="E17" s="698"/>
      <c r="F17" s="687"/>
      <c r="G17" s="698"/>
      <c r="H17" s="441"/>
      <c r="I17" s="442"/>
      <c r="J17" s="442"/>
      <c r="K17" s="442"/>
      <c r="L17" s="442"/>
      <c r="M17" s="442"/>
      <c r="N17" s="442"/>
      <c r="O17" s="442"/>
      <c r="P17" s="442"/>
      <c r="Q17" s="442"/>
      <c r="R17" s="442"/>
      <c r="S17" s="443"/>
      <c r="T17" s="443"/>
      <c r="U17" s="443"/>
      <c r="V17" s="443"/>
      <c r="W17" s="444"/>
      <c r="Y17" s="4"/>
      <c r="Z17" s="4"/>
      <c r="AA17" s="4"/>
      <c r="AB17" s="4"/>
      <c r="AC17" s="4"/>
      <c r="AD17" s="4"/>
      <c r="AE17" s="4"/>
      <c r="AF17" s="4"/>
      <c r="AG17" s="4"/>
      <c r="AH17" s="4"/>
      <c r="AI17" s="4"/>
      <c r="AJ17" s="4"/>
      <c r="AK17" s="4"/>
      <c r="AL17" s="4"/>
      <c r="AM17" s="4"/>
      <c r="AN17" s="4"/>
      <c r="AO17" s="4"/>
      <c r="AP17" s="4"/>
      <c r="AQ17" s="4"/>
      <c r="AR17" s="22">
        <v>0</v>
      </c>
    </row>
    <row r="18" spans="1:44" s="22" customFormat="1" ht="17.25" hidden="1" customHeight="1">
      <c r="A18" s="108"/>
      <c r="C18" s="16"/>
      <c r="D18" s="698">
        <v>2</v>
      </c>
      <c r="E18" s="706"/>
      <c r="F18" s="686" t="s">
        <v>19</v>
      </c>
      <c r="G18" s="679"/>
      <c r="H18" s="699"/>
      <c r="I18" s="696"/>
      <c r="J18" s="697"/>
      <c r="K18" s="697"/>
      <c r="L18" s="697"/>
      <c r="M18" s="697"/>
      <c r="N18" s="696"/>
      <c r="O18" s="697"/>
      <c r="P18" s="697"/>
      <c r="Q18" s="697"/>
      <c r="R18" s="696"/>
      <c r="S18" s="697"/>
      <c r="T18" s="470"/>
      <c r="U18" s="470"/>
      <c r="V18" s="469"/>
      <c r="W18" s="438"/>
      <c r="X18" s="4"/>
      <c r="Y18" s="4"/>
      <c r="Z18" s="4"/>
      <c r="AA18" s="4"/>
      <c r="AB18" s="4"/>
      <c r="AC18" s="4" t="s">
        <v>165</v>
      </c>
      <c r="AD18" s="4" t="s">
        <v>166</v>
      </c>
      <c r="AE18" s="4" t="s">
        <v>167</v>
      </c>
      <c r="AF18" s="4" t="s">
        <v>168</v>
      </c>
      <c r="AG18" s="4" t="s">
        <v>169</v>
      </c>
      <c r="AH18" s="4" t="str">
        <f>IF($E$18=0,"",$E$18)</f>
        <v/>
      </c>
      <c r="AI18" s="4" t="str">
        <f>IF($G$18=0,"",$G$18)</f>
        <v/>
      </c>
      <c r="AJ18" s="4" t="str">
        <f>IF($J$18=0,"",$J$18)</f>
        <v/>
      </c>
      <c r="AK18" s="4" t="str">
        <f>IF($K$18="нет","без дифференциации",IF($N$18=0,"",$N$18))</f>
        <v/>
      </c>
      <c r="AL18" s="4" t="str">
        <f>IF($O$18="нет","без дифференциации",IF($R$18=0,"",$R$18))</f>
        <v/>
      </c>
      <c r="AM18" s="4" t="str">
        <f>IF($S$18="нет","без дифференциации",IF($V$18=0,"",$V$18))</f>
        <v/>
      </c>
      <c r="AN18" s="23">
        <f>$I$18</f>
        <v>0</v>
      </c>
      <c r="AO18" s="4" t="str">
        <f>$I$18&amp;"."&amp;$M$18</f>
        <v>.</v>
      </c>
      <c r="AP18" s="4" t="str">
        <f>$I$18&amp;"."&amp;$M$18&amp;"."&amp;$Q$18</f>
        <v>..</v>
      </c>
      <c r="AQ18" s="4" t="str">
        <f>$I$18&amp;"."&amp;$M$18&amp;"."&amp;$Q$18&amp;"."&amp;$U$18</f>
        <v>...</v>
      </c>
      <c r="AR18" s="22">
        <v>0</v>
      </c>
    </row>
    <row r="19" spans="1:44" s="22" customFormat="1" ht="17.25" hidden="1" customHeight="1">
      <c r="A19" s="108"/>
      <c r="D19" s="698"/>
      <c r="E19" s="706"/>
      <c r="F19" s="689"/>
      <c r="G19" s="679"/>
      <c r="H19" s="700"/>
      <c r="I19" s="682"/>
      <c r="J19" s="665"/>
      <c r="K19" s="665"/>
      <c r="L19" s="665"/>
      <c r="M19" s="665"/>
      <c r="N19" s="682"/>
      <c r="O19" s="665"/>
      <c r="P19" s="665"/>
      <c r="Q19" s="665"/>
      <c r="R19" s="682"/>
      <c r="S19" s="665"/>
      <c r="T19" s="439"/>
      <c r="U19" s="439"/>
      <c r="V19" s="439"/>
      <c r="W19" s="440"/>
      <c r="X19" s="4"/>
      <c r="Y19" s="4"/>
      <c r="Z19" s="4"/>
      <c r="AA19" s="4"/>
      <c r="AB19" s="4"/>
      <c r="AC19" s="4"/>
      <c r="AD19" s="4"/>
      <c r="AE19" s="4"/>
      <c r="AF19" s="4"/>
      <c r="AG19" s="4"/>
      <c r="AH19" s="4"/>
      <c r="AI19" s="4"/>
      <c r="AJ19" s="4"/>
      <c r="AK19" s="4"/>
      <c r="AL19" s="4"/>
      <c r="AM19" s="4"/>
      <c r="AN19" s="4"/>
      <c r="AO19" s="4"/>
      <c r="AP19" s="4"/>
      <c r="AQ19" s="4"/>
      <c r="AR19" s="22">
        <v>0</v>
      </c>
    </row>
    <row r="20" spans="1:44" s="22" customFormat="1" ht="17.25" hidden="1" customHeight="1">
      <c r="A20" s="108"/>
      <c r="D20" s="698"/>
      <c r="E20" s="707"/>
      <c r="F20" s="689"/>
      <c r="G20" s="698"/>
      <c r="H20" s="700"/>
      <c r="I20" s="682"/>
      <c r="J20" s="682"/>
      <c r="K20" s="665"/>
      <c r="L20" s="665"/>
      <c r="M20" s="665"/>
      <c r="N20" s="682"/>
      <c r="O20" s="665"/>
      <c r="P20" s="23"/>
      <c r="Q20" s="439"/>
      <c r="R20" s="439"/>
      <c r="W20" s="440"/>
      <c r="X20" s="4"/>
      <c r="Y20" s="4"/>
      <c r="Z20" s="4"/>
      <c r="AA20" s="4"/>
      <c r="AB20" s="4"/>
      <c r="AC20" s="4"/>
      <c r="AD20" s="4"/>
      <c r="AE20" s="4"/>
      <c r="AF20" s="4"/>
      <c r="AG20" s="4"/>
      <c r="AH20" s="4"/>
      <c r="AI20" s="4"/>
      <c r="AJ20" s="4"/>
      <c r="AK20" s="4"/>
      <c r="AL20" s="4"/>
      <c r="AM20" s="4"/>
      <c r="AN20" s="4"/>
      <c r="AO20" s="4"/>
      <c r="AP20" s="4"/>
      <c r="AQ20" s="4"/>
      <c r="AR20" s="22">
        <v>0</v>
      </c>
    </row>
    <row r="21" spans="1:44" s="22" customFormat="1" ht="17.25" hidden="1" customHeight="1">
      <c r="A21" s="108"/>
      <c r="D21" s="698"/>
      <c r="E21" s="707"/>
      <c r="F21" s="689"/>
      <c r="G21" s="698"/>
      <c r="H21" s="700"/>
      <c r="I21" s="682"/>
      <c r="J21" s="682"/>
      <c r="K21" s="665"/>
      <c r="L21" s="439"/>
      <c r="M21" s="439"/>
      <c r="N21" s="439"/>
      <c r="O21" s="439"/>
      <c r="P21" s="439"/>
      <c r="Q21" s="439"/>
      <c r="R21" s="439"/>
      <c r="W21" s="440"/>
      <c r="X21" s="4"/>
      <c r="Y21" s="4"/>
      <c r="Z21" s="4"/>
      <c r="AA21" s="4"/>
      <c r="AB21" s="4"/>
      <c r="AC21" s="4"/>
      <c r="AD21" s="4"/>
      <c r="AE21" s="4"/>
      <c r="AF21" s="4"/>
      <c r="AG21" s="4"/>
      <c r="AH21" s="4"/>
      <c r="AI21" s="4"/>
      <c r="AJ21" s="4"/>
      <c r="AK21" s="4"/>
      <c r="AL21" s="4"/>
      <c r="AM21" s="4"/>
      <c r="AN21" s="4"/>
      <c r="AO21" s="4"/>
      <c r="AP21" s="4"/>
      <c r="AQ21" s="4"/>
      <c r="AR21" s="22">
        <v>0</v>
      </c>
    </row>
    <row r="22" spans="1:44" s="22" customFormat="1" ht="17.25" hidden="1" customHeight="1">
      <c r="A22" s="108"/>
      <c r="D22" s="698"/>
      <c r="E22" s="707"/>
      <c r="F22" s="687"/>
      <c r="G22" s="698"/>
      <c r="H22" s="441"/>
      <c r="I22" s="442"/>
      <c r="J22" s="442"/>
      <c r="K22" s="442"/>
      <c r="L22" s="442"/>
      <c r="M22" s="442"/>
      <c r="N22" s="442"/>
      <c r="O22" s="442"/>
      <c r="P22" s="442"/>
      <c r="Q22" s="442"/>
      <c r="R22" s="442"/>
      <c r="S22" s="443"/>
      <c r="T22" s="443"/>
      <c r="U22" s="443"/>
      <c r="V22" s="443"/>
      <c r="W22" s="444"/>
      <c r="X22" s="4"/>
      <c r="Y22" s="4"/>
      <c r="Z22" s="4"/>
      <c r="AA22" s="4"/>
      <c r="AB22" s="4"/>
      <c r="AC22" s="4"/>
      <c r="AD22" s="4"/>
      <c r="AE22" s="4"/>
      <c r="AF22" s="4"/>
      <c r="AG22" s="4"/>
      <c r="AH22" s="4"/>
      <c r="AI22" s="4"/>
      <c r="AJ22" s="4"/>
      <c r="AK22" s="4"/>
      <c r="AL22" s="4"/>
      <c r="AM22" s="4"/>
      <c r="AN22" s="4"/>
      <c r="AO22" s="4"/>
      <c r="AP22" s="4"/>
      <c r="AQ22" s="4"/>
      <c r="AR22" s="22">
        <v>0</v>
      </c>
    </row>
    <row r="23" spans="1:44" s="22" customFormat="1" ht="17.25" hidden="1" customHeight="1">
      <c r="A23" s="108"/>
      <c r="C23" s="16"/>
      <c r="D23" s="698">
        <v>2</v>
      </c>
      <c r="E23" s="679" t="s">
        <v>170</v>
      </c>
      <c r="F23" s="686" t="s">
        <v>19</v>
      </c>
      <c r="G23" s="679"/>
      <c r="H23" s="699"/>
      <c r="I23" s="696"/>
      <c r="J23" s="697"/>
      <c r="K23" s="697"/>
      <c r="L23" s="697"/>
      <c r="M23" s="697"/>
      <c r="N23" s="696"/>
      <c r="O23" s="697"/>
      <c r="P23" s="697"/>
      <c r="Q23" s="697"/>
      <c r="R23" s="696"/>
      <c r="S23" s="697"/>
      <c r="T23" s="470"/>
      <c r="U23" s="470"/>
      <c r="V23" s="469"/>
      <c r="W23" s="438"/>
      <c r="X23" s="4"/>
      <c r="Y23" s="4"/>
      <c r="Z23" s="4"/>
      <c r="AA23" s="4"/>
      <c r="AB23" s="4"/>
      <c r="AC23" s="4" t="s">
        <v>165</v>
      </c>
      <c r="AD23" s="4" t="s">
        <v>166</v>
      </c>
      <c r="AE23" s="4" t="s">
        <v>167</v>
      </c>
      <c r="AF23" s="4" t="s">
        <v>168</v>
      </c>
      <c r="AG23" s="4" t="s">
        <v>169</v>
      </c>
      <c r="AH23" s="4" t="str">
        <f>IF($E$23=0,"",$E$23)</f>
        <v>Тарифы на тепловую энергию (мощность), поставляемую теплоснабжающими организациями потребителям, другим теплоснабжающим организациям</v>
      </c>
      <c r="AI23" s="4" t="str">
        <f>IF($G$23=0,"",$G$23)</f>
        <v/>
      </c>
      <c r="AJ23" s="4" t="str">
        <f>IF($J$23=0,"",$J$23)</f>
        <v/>
      </c>
      <c r="AK23" s="4" t="str">
        <f>IF($K$23="нет","без дифференциации",IF($N$23=0,"",$N$23))</f>
        <v/>
      </c>
      <c r="AL23" s="4" t="str">
        <f>IF($O$23="нет","без дифференциации",IF($R$23=0,"",$R$23))</f>
        <v/>
      </c>
      <c r="AM23" s="4" t="str">
        <f>IF($S$23="нет","без дифференциации",IF($V$23=0,"",$V$23))</f>
        <v/>
      </c>
      <c r="AN23" s="23">
        <f>$I$23</f>
        <v>0</v>
      </c>
      <c r="AO23" s="4" t="str">
        <f>$I$23&amp;"."&amp;$M$23</f>
        <v>.</v>
      </c>
      <c r="AP23" s="4" t="str">
        <f>$I$23&amp;"."&amp;$M$23&amp;"."&amp;$Q$23</f>
        <v>..</v>
      </c>
      <c r="AQ23" s="4" t="str">
        <f>$I$23&amp;"."&amp;$M$23&amp;"."&amp;$Q$23&amp;"."&amp;$U$23</f>
        <v>...</v>
      </c>
      <c r="AR23" s="22">
        <v>0</v>
      </c>
    </row>
    <row r="24" spans="1:44" s="22" customFormat="1" ht="17.25" hidden="1" customHeight="1">
      <c r="A24" s="108"/>
      <c r="D24" s="698"/>
      <c r="E24" s="679"/>
      <c r="F24" s="689"/>
      <c r="G24" s="679"/>
      <c r="H24" s="700"/>
      <c r="I24" s="682"/>
      <c r="J24" s="665"/>
      <c r="K24" s="665"/>
      <c r="L24" s="665"/>
      <c r="M24" s="665"/>
      <c r="N24" s="682"/>
      <c r="O24" s="665"/>
      <c r="P24" s="665"/>
      <c r="Q24" s="665"/>
      <c r="R24" s="682"/>
      <c r="S24" s="665"/>
      <c r="T24" s="439"/>
      <c r="U24" s="439"/>
      <c r="V24" s="439"/>
      <c r="W24" s="440"/>
      <c r="X24" s="4"/>
      <c r="Y24" s="4"/>
      <c r="Z24" s="4"/>
      <c r="AA24" s="4"/>
      <c r="AB24" s="4"/>
      <c r="AC24" s="4"/>
      <c r="AD24" s="4"/>
      <c r="AE24" s="4"/>
      <c r="AF24" s="4"/>
      <c r="AG24" s="4"/>
      <c r="AH24" s="4"/>
      <c r="AI24" s="4"/>
      <c r="AJ24" s="4"/>
      <c r="AK24" s="4"/>
      <c r="AL24" s="4"/>
      <c r="AM24" s="4"/>
      <c r="AN24" s="4"/>
      <c r="AO24" s="4"/>
      <c r="AP24" s="4"/>
      <c r="AQ24" s="4"/>
      <c r="AR24" s="22">
        <v>0</v>
      </c>
    </row>
    <row r="25" spans="1:44" s="22" customFormat="1" ht="17.25" hidden="1" customHeight="1">
      <c r="A25" s="108"/>
      <c r="D25" s="698"/>
      <c r="E25" s="698"/>
      <c r="F25" s="689"/>
      <c r="G25" s="698"/>
      <c r="H25" s="700"/>
      <c r="I25" s="682"/>
      <c r="J25" s="682"/>
      <c r="K25" s="665"/>
      <c r="L25" s="665"/>
      <c r="M25" s="665"/>
      <c r="N25" s="682"/>
      <c r="O25" s="665"/>
      <c r="P25" s="23"/>
      <c r="Q25" s="439"/>
      <c r="R25" s="439"/>
      <c r="W25" s="440"/>
      <c r="X25" s="4"/>
      <c r="Y25" s="4"/>
      <c r="Z25" s="4"/>
      <c r="AA25" s="4"/>
      <c r="AB25" s="4"/>
      <c r="AC25" s="4"/>
      <c r="AD25" s="4"/>
      <c r="AE25" s="4"/>
      <c r="AF25" s="4"/>
      <c r="AG25" s="4"/>
      <c r="AH25" s="4"/>
      <c r="AI25" s="4"/>
      <c r="AJ25" s="4"/>
      <c r="AK25" s="4"/>
      <c r="AL25" s="4"/>
      <c r="AM25" s="4"/>
      <c r="AN25" s="4"/>
      <c r="AO25" s="4"/>
      <c r="AP25" s="4"/>
      <c r="AQ25" s="4"/>
      <c r="AR25" s="22">
        <v>0</v>
      </c>
    </row>
    <row r="26" spans="1:44" s="22" customFormat="1" ht="17.25" hidden="1" customHeight="1">
      <c r="A26" s="108"/>
      <c r="D26" s="698"/>
      <c r="E26" s="698"/>
      <c r="F26" s="689"/>
      <c r="G26" s="698"/>
      <c r="H26" s="700"/>
      <c r="I26" s="682"/>
      <c r="J26" s="682"/>
      <c r="K26" s="665"/>
      <c r="L26" s="439"/>
      <c r="M26" s="439"/>
      <c r="N26" s="439"/>
      <c r="O26" s="439"/>
      <c r="P26" s="439"/>
      <c r="Q26" s="439"/>
      <c r="R26" s="439"/>
      <c r="W26" s="440"/>
      <c r="X26" s="4"/>
      <c r="Y26" s="4"/>
      <c r="Z26" s="4"/>
      <c r="AA26" s="4"/>
      <c r="AB26" s="4"/>
      <c r="AC26" s="4"/>
      <c r="AD26" s="4"/>
      <c r="AE26" s="4"/>
      <c r="AF26" s="4"/>
      <c r="AG26" s="4"/>
      <c r="AH26" s="4"/>
      <c r="AI26" s="4"/>
      <c r="AJ26" s="4"/>
      <c r="AK26" s="4"/>
      <c r="AL26" s="4"/>
      <c r="AM26" s="4"/>
      <c r="AN26" s="4"/>
      <c r="AO26" s="4"/>
      <c r="AP26" s="4"/>
      <c r="AQ26" s="4"/>
      <c r="AR26" s="22">
        <v>0</v>
      </c>
    </row>
    <row r="27" spans="1:44" s="22" customFormat="1" ht="17.25" hidden="1" customHeight="1">
      <c r="A27" s="108"/>
      <c r="D27" s="698"/>
      <c r="E27" s="698"/>
      <c r="F27" s="687"/>
      <c r="G27" s="698"/>
      <c r="H27" s="441"/>
      <c r="I27" s="442"/>
      <c r="J27" s="442"/>
      <c r="K27" s="442"/>
      <c r="L27" s="442"/>
      <c r="M27" s="442"/>
      <c r="N27" s="442"/>
      <c r="O27" s="442"/>
      <c r="P27" s="442"/>
      <c r="Q27" s="442"/>
      <c r="R27" s="442"/>
      <c r="S27" s="443"/>
      <c r="T27" s="443"/>
      <c r="U27" s="443"/>
      <c r="V27" s="443"/>
      <c r="W27" s="444"/>
      <c r="X27" s="4"/>
      <c r="Y27" s="4"/>
      <c r="Z27" s="4"/>
      <c r="AA27" s="4"/>
      <c r="AB27" s="4"/>
      <c r="AC27" s="4"/>
      <c r="AD27" s="4"/>
      <c r="AE27" s="4"/>
      <c r="AF27" s="4"/>
      <c r="AG27" s="4"/>
      <c r="AH27" s="4"/>
      <c r="AI27" s="4"/>
      <c r="AJ27" s="4"/>
      <c r="AK27" s="4"/>
      <c r="AL27" s="4"/>
      <c r="AM27" s="4"/>
      <c r="AN27" s="4"/>
      <c r="AO27" s="4"/>
      <c r="AP27" s="4"/>
      <c r="AQ27" s="4"/>
      <c r="AR27" s="22">
        <v>0</v>
      </c>
    </row>
    <row r="28" spans="1:44" s="22" customFormat="1" ht="17.25" hidden="1" customHeight="1">
      <c r="A28" s="108"/>
      <c r="C28" s="16"/>
      <c r="D28" s="698">
        <v>3</v>
      </c>
      <c r="E28" s="679" t="s">
        <v>171</v>
      </c>
      <c r="F28" s="686" t="s">
        <v>19</v>
      </c>
      <c r="G28" s="679"/>
      <c r="H28" s="699"/>
      <c r="I28" s="696"/>
      <c r="J28" s="697"/>
      <c r="K28" s="697"/>
      <c r="L28" s="697"/>
      <c r="M28" s="697"/>
      <c r="N28" s="696"/>
      <c r="O28" s="697"/>
      <c r="P28" s="697"/>
      <c r="Q28" s="697"/>
      <c r="R28" s="696"/>
      <c r="S28" s="697"/>
      <c r="T28" s="470"/>
      <c r="U28" s="470"/>
      <c r="V28" s="469"/>
      <c r="W28" s="438"/>
      <c r="X28" s="4"/>
      <c r="Y28" s="4"/>
      <c r="Z28" s="4"/>
      <c r="AA28" s="4"/>
      <c r="AB28" s="4"/>
      <c r="AC28" s="4" t="s">
        <v>172</v>
      </c>
      <c r="AD28" s="4" t="s">
        <v>173</v>
      </c>
      <c r="AE28" s="4" t="s">
        <v>174</v>
      </c>
      <c r="AF28" s="4" t="s">
        <v>175</v>
      </c>
      <c r="AG28" s="4" t="s">
        <v>176</v>
      </c>
      <c r="AH28" s="4" t="str">
        <f>IF($E$28=0,"",$E$28)</f>
        <v>Тарифы на теплоноситель, поставляемый теплоснабжающими организациями потребителям, другим теплоснабжающим организациям</v>
      </c>
      <c r="AI28" s="4" t="str">
        <f>IF($G$28=0,"",$G$28)</f>
        <v/>
      </c>
      <c r="AJ28" s="4" t="str">
        <f>IF($J$28=0,"",$J$28)</f>
        <v/>
      </c>
      <c r="AK28" s="4" t="str">
        <f>IF($K$28="нет","без дифференциации",IF($N$28=0,"",$N$28))</f>
        <v/>
      </c>
      <c r="AL28" s="4" t="str">
        <f>IF($O$28="нет","без дифференциации",IF($R$28=0,"",$R$28))</f>
        <v/>
      </c>
      <c r="AM28" s="4" t="str">
        <f>IF($S$28="нет","без дифференциации",IF($V$28=0,"",$V$28))</f>
        <v/>
      </c>
      <c r="AN28" s="23">
        <f>$I$28</f>
        <v>0</v>
      </c>
      <c r="AO28" s="4" t="str">
        <f>$I$28&amp;"."&amp;$M$28</f>
        <v>.</v>
      </c>
      <c r="AP28" s="4" t="str">
        <f>$I$28&amp;"."&amp;$M$28&amp;"."&amp;$Q$28</f>
        <v>..</v>
      </c>
      <c r="AQ28" s="4" t="str">
        <f>$I$28&amp;"."&amp;$M$28&amp;"."&amp;$Q$28&amp;"."&amp;$U$28</f>
        <v>...</v>
      </c>
      <c r="AR28" s="22">
        <v>0</v>
      </c>
    </row>
    <row r="29" spans="1:44" s="22" customFormat="1" ht="17.25" hidden="1" customHeight="1">
      <c r="A29" s="108"/>
      <c r="D29" s="698"/>
      <c r="E29" s="679"/>
      <c r="F29" s="689"/>
      <c r="G29" s="679"/>
      <c r="H29" s="700"/>
      <c r="I29" s="682"/>
      <c r="J29" s="665"/>
      <c r="K29" s="665"/>
      <c r="L29" s="665"/>
      <c r="M29" s="665"/>
      <c r="N29" s="682"/>
      <c r="O29" s="665"/>
      <c r="P29" s="665"/>
      <c r="Q29" s="665"/>
      <c r="R29" s="682"/>
      <c r="S29" s="665"/>
      <c r="T29" s="439"/>
      <c r="U29" s="439"/>
      <c r="V29" s="439"/>
      <c r="W29" s="440"/>
      <c r="X29" s="4"/>
      <c r="Y29" s="4"/>
      <c r="Z29" s="4"/>
      <c r="AA29" s="4"/>
      <c r="AB29" s="4"/>
      <c r="AC29" s="4"/>
      <c r="AD29" s="4"/>
      <c r="AE29" s="4"/>
      <c r="AF29" s="4"/>
      <c r="AG29" s="4"/>
      <c r="AH29" s="4"/>
      <c r="AI29" s="4"/>
      <c r="AJ29" s="4"/>
      <c r="AK29" s="4"/>
      <c r="AL29" s="4"/>
      <c r="AM29" s="4"/>
      <c r="AN29" s="4"/>
      <c r="AO29" s="4"/>
      <c r="AP29" s="4"/>
      <c r="AQ29" s="4"/>
      <c r="AR29" s="22">
        <v>0</v>
      </c>
    </row>
    <row r="30" spans="1:44" s="22" customFormat="1" ht="17.25" hidden="1" customHeight="1">
      <c r="A30" s="108"/>
      <c r="D30" s="698"/>
      <c r="E30" s="698"/>
      <c r="F30" s="689"/>
      <c r="G30" s="698"/>
      <c r="H30" s="700"/>
      <c r="I30" s="682"/>
      <c r="J30" s="682"/>
      <c r="K30" s="665"/>
      <c r="L30" s="665"/>
      <c r="M30" s="665"/>
      <c r="N30" s="682"/>
      <c r="O30" s="665"/>
      <c r="P30" s="23"/>
      <c r="Q30" s="439"/>
      <c r="R30" s="439"/>
      <c r="W30" s="440"/>
      <c r="X30" s="4"/>
      <c r="Y30" s="4"/>
      <c r="Z30" s="4"/>
      <c r="AA30" s="4"/>
      <c r="AB30" s="4"/>
      <c r="AC30" s="4"/>
      <c r="AD30" s="4"/>
      <c r="AE30" s="4"/>
      <c r="AF30" s="4"/>
      <c r="AG30" s="4"/>
      <c r="AH30" s="4"/>
      <c r="AI30" s="4"/>
      <c r="AJ30" s="4"/>
      <c r="AK30" s="4"/>
      <c r="AL30" s="4"/>
      <c r="AM30" s="4"/>
      <c r="AN30" s="4"/>
      <c r="AO30" s="4"/>
      <c r="AP30" s="4"/>
      <c r="AQ30" s="4"/>
      <c r="AR30" s="22">
        <v>0</v>
      </c>
    </row>
    <row r="31" spans="1:44" s="22" customFormat="1" ht="17.25" hidden="1" customHeight="1">
      <c r="A31" s="108"/>
      <c r="D31" s="698"/>
      <c r="E31" s="698"/>
      <c r="F31" s="689"/>
      <c r="G31" s="698"/>
      <c r="H31" s="700"/>
      <c r="I31" s="682"/>
      <c r="J31" s="682"/>
      <c r="K31" s="665"/>
      <c r="L31" s="439"/>
      <c r="M31" s="439"/>
      <c r="N31" s="439"/>
      <c r="O31" s="439"/>
      <c r="P31" s="439"/>
      <c r="Q31" s="439"/>
      <c r="R31" s="439"/>
      <c r="W31" s="440"/>
      <c r="X31" s="4"/>
      <c r="Y31" s="4"/>
      <c r="Z31" s="4"/>
      <c r="AA31" s="4"/>
      <c r="AB31" s="4"/>
      <c r="AC31" s="4"/>
      <c r="AD31" s="4"/>
      <c r="AE31" s="4"/>
      <c r="AF31" s="4"/>
      <c r="AG31" s="4"/>
      <c r="AH31" s="4"/>
      <c r="AI31" s="4"/>
      <c r="AJ31" s="4"/>
      <c r="AK31" s="4"/>
      <c r="AL31" s="4"/>
      <c r="AM31" s="4"/>
      <c r="AN31" s="4"/>
      <c r="AO31" s="4"/>
      <c r="AP31" s="4"/>
      <c r="AQ31" s="4"/>
      <c r="AR31" s="22">
        <v>0</v>
      </c>
    </row>
    <row r="32" spans="1:44" s="22" customFormat="1" ht="17.25" hidden="1" customHeight="1">
      <c r="A32" s="108"/>
      <c r="D32" s="698"/>
      <c r="E32" s="698"/>
      <c r="F32" s="687"/>
      <c r="G32" s="698"/>
      <c r="H32" s="441"/>
      <c r="I32" s="442"/>
      <c r="J32" s="442"/>
      <c r="K32" s="442"/>
      <c r="L32" s="442"/>
      <c r="M32" s="442"/>
      <c r="N32" s="442"/>
      <c r="O32" s="442"/>
      <c r="P32" s="442"/>
      <c r="Q32" s="442"/>
      <c r="R32" s="442"/>
      <c r="S32" s="443"/>
      <c r="T32" s="443"/>
      <c r="U32" s="443"/>
      <c r="V32" s="443"/>
      <c r="W32" s="444"/>
      <c r="X32" s="4"/>
      <c r="Y32" s="4"/>
      <c r="Z32" s="4"/>
      <c r="AA32" s="4"/>
      <c r="AB32" s="4"/>
      <c r="AC32" s="4"/>
      <c r="AD32" s="4"/>
      <c r="AE32" s="4"/>
      <c r="AF32" s="4"/>
      <c r="AG32" s="4"/>
      <c r="AH32" s="4"/>
      <c r="AI32" s="4"/>
      <c r="AJ32" s="4"/>
      <c r="AK32" s="4"/>
      <c r="AL32" s="4"/>
      <c r="AM32" s="4"/>
      <c r="AN32" s="4"/>
      <c r="AO32" s="4"/>
      <c r="AP32" s="4"/>
      <c r="AQ32" s="4"/>
      <c r="AR32" s="22">
        <v>0</v>
      </c>
    </row>
    <row r="33" spans="1:44" s="22" customFormat="1" ht="17.25" hidden="1" customHeight="1">
      <c r="A33" s="108"/>
      <c r="C33" s="16"/>
      <c r="D33" s="698">
        <v>4</v>
      </c>
      <c r="E33" s="679" t="s">
        <v>177</v>
      </c>
      <c r="F33" s="686" t="s">
        <v>19</v>
      </c>
      <c r="G33" s="679"/>
      <c r="H33" s="699"/>
      <c r="I33" s="696"/>
      <c r="J33" s="697"/>
      <c r="K33" s="697"/>
      <c r="L33" s="697"/>
      <c r="M33" s="697"/>
      <c r="N33" s="696"/>
      <c r="O33" s="697"/>
      <c r="P33" s="697"/>
      <c r="Q33" s="697"/>
      <c r="R33" s="696"/>
      <c r="S33" s="697"/>
      <c r="T33" s="470"/>
      <c r="U33" s="470"/>
      <c r="V33" s="469"/>
      <c r="W33" s="438"/>
      <c r="X33" s="4"/>
      <c r="Y33" s="4"/>
      <c r="Z33" s="4"/>
      <c r="AA33" s="4"/>
      <c r="AB33" s="4"/>
      <c r="AC33" s="4" t="s">
        <v>178</v>
      </c>
      <c r="AD33" s="4" t="s">
        <v>179</v>
      </c>
      <c r="AE33" s="4" t="s">
        <v>180</v>
      </c>
      <c r="AF33" s="4" t="s">
        <v>181</v>
      </c>
      <c r="AG33" s="4" t="s">
        <v>182</v>
      </c>
      <c r="AH33" s="4" t="str">
        <f>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3" s="4" t="str">
        <f>IF($G$33=0,"",$G$33)</f>
        <v/>
      </c>
      <c r="AJ33" s="4" t="str">
        <f>IF($J$33=0,"",$J$33)</f>
        <v/>
      </c>
      <c r="AK33" s="4" t="str">
        <f>IF($K$33="нет","без дифференциации",IF($N$33=0,"",$N$33))</f>
        <v/>
      </c>
      <c r="AL33" s="4" t="str">
        <f>IF($O$33="нет","без дифференциации",IF($R$33=0,"",$R$33))</f>
        <v/>
      </c>
      <c r="AM33" s="4" t="str">
        <f>IF($S$33="нет","без дифференциации",IF($V$33=0,"",$V$33))</f>
        <v/>
      </c>
      <c r="AN33" s="23">
        <f>$I$33</f>
        <v>0</v>
      </c>
      <c r="AO33" s="4" t="str">
        <f>$I$33&amp;"."&amp;$M$33</f>
        <v>.</v>
      </c>
      <c r="AP33" s="4" t="str">
        <f>$I$33&amp;"."&amp;$M$33&amp;"."&amp;$Q$33</f>
        <v>..</v>
      </c>
      <c r="AQ33" s="4" t="str">
        <f>$I$33&amp;"."&amp;$M$33&amp;"."&amp;$Q$33&amp;"."&amp;$U$33</f>
        <v>...</v>
      </c>
      <c r="AR33" s="22">
        <v>0</v>
      </c>
    </row>
    <row r="34" spans="1:44" s="22" customFormat="1" ht="17.25" hidden="1" customHeight="1">
      <c r="A34" s="108"/>
      <c r="D34" s="698"/>
      <c r="E34" s="679"/>
      <c r="F34" s="689"/>
      <c r="G34" s="679"/>
      <c r="H34" s="700"/>
      <c r="I34" s="682"/>
      <c r="J34" s="665"/>
      <c r="K34" s="665"/>
      <c r="L34" s="665"/>
      <c r="M34" s="665"/>
      <c r="N34" s="682"/>
      <c r="O34" s="665"/>
      <c r="P34" s="665"/>
      <c r="Q34" s="665"/>
      <c r="R34" s="682"/>
      <c r="S34" s="665"/>
      <c r="T34" s="439"/>
      <c r="U34" s="439"/>
      <c r="V34" s="439"/>
      <c r="W34" s="440"/>
      <c r="X34" s="4"/>
      <c r="Y34" s="4"/>
      <c r="Z34" s="4"/>
      <c r="AA34" s="4"/>
      <c r="AB34" s="4"/>
      <c r="AC34" s="4"/>
      <c r="AD34" s="4"/>
      <c r="AE34" s="4"/>
      <c r="AF34" s="4"/>
      <c r="AG34" s="4"/>
      <c r="AH34" s="4"/>
      <c r="AI34" s="4"/>
      <c r="AJ34" s="4"/>
      <c r="AK34" s="4"/>
      <c r="AL34" s="4"/>
      <c r="AM34" s="4"/>
      <c r="AN34" s="4"/>
      <c r="AO34" s="4"/>
      <c r="AP34" s="4"/>
      <c r="AQ34" s="4"/>
      <c r="AR34" s="22">
        <v>0</v>
      </c>
    </row>
    <row r="35" spans="1:44" s="22" customFormat="1" ht="17.25" hidden="1" customHeight="1">
      <c r="A35" s="108"/>
      <c r="D35" s="698"/>
      <c r="E35" s="698"/>
      <c r="F35" s="689"/>
      <c r="G35" s="698"/>
      <c r="H35" s="700"/>
      <c r="I35" s="682"/>
      <c r="J35" s="682"/>
      <c r="K35" s="665"/>
      <c r="L35" s="665"/>
      <c r="M35" s="665"/>
      <c r="N35" s="682"/>
      <c r="O35" s="665"/>
      <c r="P35" s="23"/>
      <c r="Q35" s="439"/>
      <c r="R35" s="439"/>
      <c r="W35" s="440"/>
      <c r="X35" s="4"/>
      <c r="Y35" s="4"/>
      <c r="Z35" s="4"/>
      <c r="AA35" s="4"/>
      <c r="AB35" s="4"/>
      <c r="AC35" s="4"/>
      <c r="AD35" s="4"/>
      <c r="AE35" s="4"/>
      <c r="AF35" s="4"/>
      <c r="AG35" s="4"/>
      <c r="AH35" s="4"/>
      <c r="AI35" s="4"/>
      <c r="AJ35" s="4"/>
      <c r="AK35" s="4"/>
      <c r="AL35" s="4"/>
      <c r="AM35" s="4"/>
      <c r="AN35" s="4"/>
      <c r="AO35" s="4"/>
      <c r="AP35" s="4"/>
      <c r="AQ35" s="4"/>
      <c r="AR35" s="22">
        <v>0</v>
      </c>
    </row>
    <row r="36" spans="1:44" s="22" customFormat="1" ht="17.25" hidden="1" customHeight="1">
      <c r="A36" s="108"/>
      <c r="D36" s="698"/>
      <c r="E36" s="698"/>
      <c r="F36" s="689"/>
      <c r="G36" s="698"/>
      <c r="H36" s="700"/>
      <c r="I36" s="682"/>
      <c r="J36" s="682"/>
      <c r="K36" s="665"/>
      <c r="L36" s="439"/>
      <c r="M36" s="439"/>
      <c r="N36" s="439"/>
      <c r="O36" s="439"/>
      <c r="P36" s="439"/>
      <c r="Q36" s="439"/>
      <c r="R36" s="439"/>
      <c r="W36" s="440"/>
      <c r="X36" s="4"/>
      <c r="Y36" s="4"/>
      <c r="Z36" s="4"/>
      <c r="AA36" s="4"/>
      <c r="AB36" s="4"/>
      <c r="AC36" s="4"/>
      <c r="AD36" s="4"/>
      <c r="AE36" s="4"/>
      <c r="AF36" s="4"/>
      <c r="AG36" s="4"/>
      <c r="AH36" s="4"/>
      <c r="AI36" s="4"/>
      <c r="AJ36" s="4"/>
      <c r="AK36" s="4"/>
      <c r="AL36" s="4"/>
      <c r="AM36" s="4"/>
      <c r="AN36" s="4"/>
      <c r="AO36" s="4"/>
      <c r="AP36" s="4"/>
      <c r="AQ36" s="4"/>
      <c r="AR36" s="22">
        <v>0</v>
      </c>
    </row>
    <row r="37" spans="1:44" s="22" customFormat="1" ht="17.25" hidden="1" customHeight="1">
      <c r="A37" s="108"/>
      <c r="D37" s="698"/>
      <c r="E37" s="698"/>
      <c r="F37" s="687"/>
      <c r="G37" s="698"/>
      <c r="H37" s="441"/>
      <c r="I37" s="442"/>
      <c r="J37" s="442"/>
      <c r="K37" s="442"/>
      <c r="L37" s="442"/>
      <c r="M37" s="442"/>
      <c r="N37" s="442"/>
      <c r="O37" s="442"/>
      <c r="P37" s="442"/>
      <c r="Q37" s="442"/>
      <c r="R37" s="442"/>
      <c r="S37" s="443"/>
      <c r="T37" s="443"/>
      <c r="U37" s="443"/>
      <c r="V37" s="443"/>
      <c r="W37" s="444"/>
      <c r="X37" s="4"/>
      <c r="Y37" s="4"/>
      <c r="Z37" s="4"/>
      <c r="AA37" s="4"/>
      <c r="AB37" s="4"/>
      <c r="AC37" s="4"/>
      <c r="AD37" s="4"/>
      <c r="AE37" s="4"/>
      <c r="AF37" s="4"/>
      <c r="AG37" s="4"/>
      <c r="AH37" s="4"/>
      <c r="AI37" s="4"/>
      <c r="AJ37" s="4"/>
      <c r="AK37" s="4"/>
      <c r="AL37" s="4"/>
      <c r="AM37" s="4"/>
      <c r="AN37" s="4"/>
      <c r="AO37" s="4"/>
      <c r="AP37" s="4"/>
      <c r="AQ37" s="4"/>
      <c r="AR37" s="22">
        <v>0</v>
      </c>
    </row>
    <row r="38" spans="1:44" s="22" customFormat="1" ht="17.25" hidden="1" customHeight="1">
      <c r="A38" s="108"/>
      <c r="C38" s="16"/>
      <c r="D38" s="698">
        <v>5</v>
      </c>
      <c r="E38" s="679" t="s">
        <v>183</v>
      </c>
      <c r="F38" s="686" t="s">
        <v>19</v>
      </c>
      <c r="G38" s="679"/>
      <c r="H38" s="699"/>
      <c r="I38" s="696"/>
      <c r="J38" s="697"/>
      <c r="K38" s="697"/>
      <c r="L38" s="697"/>
      <c r="M38" s="697"/>
      <c r="N38" s="696"/>
      <c r="O38" s="697"/>
      <c r="P38" s="697"/>
      <c r="Q38" s="697"/>
      <c r="R38" s="696"/>
      <c r="S38" s="697"/>
      <c r="T38" s="470"/>
      <c r="U38" s="470"/>
      <c r="V38" s="469"/>
      <c r="W38" s="438"/>
      <c r="X38" s="4"/>
      <c r="Y38" s="4"/>
      <c r="Z38" s="4"/>
      <c r="AA38" s="4"/>
      <c r="AB38" s="4"/>
      <c r="AC38" s="4" t="s">
        <v>184</v>
      </c>
      <c r="AD38" s="4" t="s">
        <v>185</v>
      </c>
      <c r="AE38" s="4" t="s">
        <v>186</v>
      </c>
      <c r="AF38" s="4" t="s">
        <v>187</v>
      </c>
      <c r="AG38" s="4" t="s">
        <v>188</v>
      </c>
      <c r="AH38" s="4" t="str">
        <f>IF($E$38=0,"",$E$38)</f>
        <v>Тарифы на услуги по передаче тепловой энергии</v>
      </c>
      <c r="AI38" s="4" t="str">
        <f>IF($G$38=0,"",$G$38)</f>
        <v/>
      </c>
      <c r="AJ38" s="4" t="str">
        <f>IF($J$38=0,"",$J$38)</f>
        <v/>
      </c>
      <c r="AK38" s="4" t="str">
        <f>IF($K$38="нет","без дифференциации",IF($N$38=0,"",$N$38))</f>
        <v/>
      </c>
      <c r="AL38" s="4" t="str">
        <f>IF($O$38="нет","без дифференциации",IF($R$38=0,"",$R$38))</f>
        <v/>
      </c>
      <c r="AM38" s="4" t="str">
        <f>IF($S$38="нет","без дифференциации",IF($V$38=0,"",$V$38))</f>
        <v/>
      </c>
      <c r="AN38" s="23">
        <f>$I$38</f>
        <v>0</v>
      </c>
      <c r="AO38" s="4" t="str">
        <f>$I$38&amp;"."&amp;$M$38</f>
        <v>.</v>
      </c>
      <c r="AP38" s="4" t="str">
        <f>$I$38&amp;"."&amp;$M$38&amp;"."&amp;$Q$38</f>
        <v>..</v>
      </c>
      <c r="AQ38" s="4" t="str">
        <f>$I$38&amp;"."&amp;$M$38&amp;"."&amp;$Q$38&amp;"."&amp;$U$38</f>
        <v>...</v>
      </c>
      <c r="AR38" s="22">
        <v>0</v>
      </c>
    </row>
    <row r="39" spans="1:44" s="22" customFormat="1" ht="17.25" hidden="1" customHeight="1">
      <c r="A39" s="108"/>
      <c r="D39" s="698"/>
      <c r="E39" s="679"/>
      <c r="F39" s="689"/>
      <c r="G39" s="679"/>
      <c r="H39" s="700"/>
      <c r="I39" s="682"/>
      <c r="J39" s="665"/>
      <c r="K39" s="665"/>
      <c r="L39" s="665"/>
      <c r="M39" s="665"/>
      <c r="N39" s="682"/>
      <c r="O39" s="665"/>
      <c r="P39" s="665"/>
      <c r="Q39" s="665"/>
      <c r="R39" s="682"/>
      <c r="S39" s="665"/>
      <c r="T39" s="439"/>
      <c r="U39" s="439"/>
      <c r="V39" s="439"/>
      <c r="W39" s="440"/>
      <c r="X39" s="4"/>
      <c r="Y39" s="4"/>
      <c r="Z39" s="4"/>
      <c r="AA39" s="4"/>
      <c r="AB39" s="4"/>
      <c r="AC39" s="4"/>
      <c r="AD39" s="4"/>
      <c r="AE39" s="4"/>
      <c r="AF39" s="4"/>
      <c r="AG39" s="4"/>
      <c r="AH39" s="4"/>
      <c r="AI39" s="4"/>
      <c r="AJ39" s="4"/>
      <c r="AK39" s="4"/>
      <c r="AL39" s="4"/>
      <c r="AM39" s="4"/>
      <c r="AN39" s="4"/>
      <c r="AO39" s="4"/>
      <c r="AP39" s="4"/>
      <c r="AQ39" s="4"/>
      <c r="AR39" s="22">
        <v>0</v>
      </c>
    </row>
    <row r="40" spans="1:44" s="22" customFormat="1" ht="17.25" hidden="1" customHeight="1">
      <c r="A40" s="108"/>
      <c r="D40" s="698"/>
      <c r="E40" s="698"/>
      <c r="F40" s="689"/>
      <c r="G40" s="698"/>
      <c r="H40" s="700"/>
      <c r="I40" s="682"/>
      <c r="J40" s="682"/>
      <c r="K40" s="665"/>
      <c r="L40" s="665"/>
      <c r="M40" s="665"/>
      <c r="N40" s="682"/>
      <c r="O40" s="665"/>
      <c r="P40" s="23"/>
      <c r="Q40" s="439"/>
      <c r="R40" s="439"/>
      <c r="W40" s="440"/>
      <c r="X40" s="4"/>
      <c r="Y40" s="4"/>
      <c r="Z40" s="4"/>
      <c r="AA40" s="4"/>
      <c r="AB40" s="4"/>
      <c r="AC40" s="4"/>
      <c r="AD40" s="4"/>
      <c r="AE40" s="4"/>
      <c r="AF40" s="4"/>
      <c r="AG40" s="4"/>
      <c r="AH40" s="4"/>
      <c r="AI40" s="4"/>
      <c r="AJ40" s="4"/>
      <c r="AK40" s="4"/>
      <c r="AL40" s="4"/>
      <c r="AM40" s="4"/>
      <c r="AN40" s="4"/>
      <c r="AO40" s="4"/>
      <c r="AP40" s="4"/>
      <c r="AQ40" s="4"/>
      <c r="AR40" s="22">
        <v>0</v>
      </c>
    </row>
    <row r="41" spans="1:44" s="22" customFormat="1" ht="17.25" hidden="1" customHeight="1">
      <c r="A41" s="108"/>
      <c r="D41" s="698"/>
      <c r="E41" s="698"/>
      <c r="F41" s="689"/>
      <c r="G41" s="698"/>
      <c r="H41" s="700"/>
      <c r="I41" s="682"/>
      <c r="J41" s="682"/>
      <c r="K41" s="665"/>
      <c r="L41" s="439"/>
      <c r="M41" s="439"/>
      <c r="N41" s="439"/>
      <c r="O41" s="439"/>
      <c r="P41" s="439"/>
      <c r="Q41" s="439"/>
      <c r="R41" s="439"/>
      <c r="W41" s="440"/>
      <c r="X41" s="4"/>
      <c r="Y41" s="4"/>
      <c r="Z41" s="4"/>
      <c r="AA41" s="4"/>
      <c r="AB41" s="4"/>
      <c r="AC41" s="4"/>
      <c r="AD41" s="4"/>
      <c r="AE41" s="4"/>
      <c r="AF41" s="4"/>
      <c r="AG41" s="4"/>
      <c r="AH41" s="4"/>
      <c r="AI41" s="4"/>
      <c r="AJ41" s="4"/>
      <c r="AK41" s="4"/>
      <c r="AL41" s="4"/>
      <c r="AM41" s="4"/>
      <c r="AN41" s="4"/>
      <c r="AO41" s="4"/>
      <c r="AP41" s="4"/>
      <c r="AQ41" s="4"/>
      <c r="AR41" s="22">
        <v>0</v>
      </c>
    </row>
    <row r="42" spans="1:44" s="22" customFormat="1" ht="17.25" hidden="1" customHeight="1">
      <c r="A42" s="108"/>
      <c r="D42" s="698"/>
      <c r="E42" s="698"/>
      <c r="F42" s="687"/>
      <c r="G42" s="698"/>
      <c r="H42" s="441"/>
      <c r="I42" s="442"/>
      <c r="J42" s="442"/>
      <c r="K42" s="442"/>
      <c r="L42" s="442"/>
      <c r="M42" s="442"/>
      <c r="N42" s="442"/>
      <c r="O42" s="442"/>
      <c r="P42" s="442"/>
      <c r="Q42" s="442"/>
      <c r="R42" s="442"/>
      <c r="S42" s="443"/>
      <c r="T42" s="443"/>
      <c r="U42" s="443"/>
      <c r="V42" s="443"/>
      <c r="W42" s="444"/>
      <c r="X42" s="4"/>
      <c r="Y42" s="4"/>
      <c r="Z42" s="4"/>
      <c r="AA42" s="4"/>
      <c r="AB42" s="4"/>
      <c r="AC42" s="4"/>
      <c r="AD42" s="4"/>
      <c r="AE42" s="4"/>
      <c r="AF42" s="4"/>
      <c r="AG42" s="4"/>
      <c r="AH42" s="4"/>
      <c r="AI42" s="4"/>
      <c r="AJ42" s="4"/>
      <c r="AK42" s="4"/>
      <c r="AL42" s="4"/>
      <c r="AM42" s="4"/>
      <c r="AN42" s="4"/>
      <c r="AO42" s="4"/>
      <c r="AP42" s="4"/>
      <c r="AQ42" s="4"/>
      <c r="AR42" s="22">
        <v>0</v>
      </c>
    </row>
    <row r="43" spans="1:44" s="22" customFormat="1" ht="17.25" hidden="1" customHeight="1">
      <c r="A43" s="108"/>
      <c r="C43" s="16"/>
      <c r="D43" s="698">
        <v>6</v>
      </c>
      <c r="E43" s="679" t="s">
        <v>189</v>
      </c>
      <c r="F43" s="686" t="s">
        <v>19</v>
      </c>
      <c r="G43" s="679"/>
      <c r="H43" s="699"/>
      <c r="I43" s="696"/>
      <c r="J43" s="697"/>
      <c r="K43" s="697"/>
      <c r="L43" s="697"/>
      <c r="M43" s="697"/>
      <c r="N43" s="696"/>
      <c r="O43" s="697"/>
      <c r="P43" s="697"/>
      <c r="Q43" s="697"/>
      <c r="R43" s="696"/>
      <c r="S43" s="697"/>
      <c r="T43" s="470"/>
      <c r="U43" s="470"/>
      <c r="V43" s="469"/>
      <c r="W43" s="438"/>
      <c r="X43" s="4"/>
      <c r="Y43" s="4"/>
      <c r="Z43" s="4"/>
      <c r="AA43" s="4"/>
      <c r="AB43" s="4"/>
      <c r="AC43" s="4" t="s">
        <v>190</v>
      </c>
      <c r="AD43" s="4" t="s">
        <v>191</v>
      </c>
      <c r="AE43" s="4" t="s">
        <v>192</v>
      </c>
      <c r="AF43" s="4" t="s">
        <v>193</v>
      </c>
      <c r="AG43" s="4" t="s">
        <v>194</v>
      </c>
      <c r="AH43" s="4" t="str">
        <f>IF($E$43=0,"",$E$43)</f>
        <v>Тарифы на услуги по передаче теплоносителя</v>
      </c>
      <c r="AI43" s="4" t="str">
        <f>IF($G$43=0,"",$G$43)</f>
        <v/>
      </c>
      <c r="AJ43" s="4" t="str">
        <f>IF($J$43=0,"",$J$43)</f>
        <v/>
      </c>
      <c r="AK43" s="4" t="str">
        <f>IF($K$43="нет","без дифференциации",IF($N$43=0,"",$N$43))</f>
        <v/>
      </c>
      <c r="AL43" s="4" t="str">
        <f>IF($O$43="нет","без дифференциации",IF($R$43=0,"",$R$43))</f>
        <v/>
      </c>
      <c r="AM43" s="4" t="str">
        <f>IF($S$43="нет","без дифференциации",IF($V$43=0,"",$V$43))</f>
        <v/>
      </c>
      <c r="AN43" s="23">
        <f>$I$43</f>
        <v>0</v>
      </c>
      <c r="AO43" s="4" t="str">
        <f>$I$43&amp;"."&amp;$M$43</f>
        <v>.</v>
      </c>
      <c r="AP43" s="4" t="str">
        <f>$I$43&amp;"."&amp;$M$43&amp;"."&amp;$Q$43</f>
        <v>..</v>
      </c>
      <c r="AQ43" s="4" t="str">
        <f>$I$43&amp;"."&amp;$M$43&amp;"."&amp;$Q$43&amp;"."&amp;$U$43</f>
        <v>...</v>
      </c>
      <c r="AR43" s="22">
        <v>0</v>
      </c>
    </row>
    <row r="44" spans="1:44" s="22" customFormat="1" ht="17.25" hidden="1" customHeight="1">
      <c r="A44" s="108"/>
      <c r="D44" s="698"/>
      <c r="E44" s="679"/>
      <c r="F44" s="689"/>
      <c r="G44" s="679"/>
      <c r="H44" s="700"/>
      <c r="I44" s="682"/>
      <c r="J44" s="665"/>
      <c r="K44" s="665"/>
      <c r="L44" s="665"/>
      <c r="M44" s="665"/>
      <c r="N44" s="682"/>
      <c r="O44" s="665"/>
      <c r="P44" s="665"/>
      <c r="Q44" s="665"/>
      <c r="R44" s="682"/>
      <c r="S44" s="665"/>
      <c r="T44" s="439"/>
      <c r="U44" s="439"/>
      <c r="V44" s="439"/>
      <c r="W44" s="440"/>
      <c r="X44" s="4"/>
      <c r="Y44" s="4"/>
      <c r="Z44" s="4"/>
      <c r="AA44" s="4"/>
      <c r="AB44" s="4"/>
      <c r="AC44" s="4"/>
      <c r="AD44" s="4"/>
      <c r="AE44" s="4"/>
      <c r="AF44" s="4"/>
      <c r="AG44" s="4"/>
      <c r="AH44" s="4"/>
      <c r="AI44" s="4"/>
      <c r="AJ44" s="4"/>
      <c r="AK44" s="4"/>
      <c r="AL44" s="4"/>
      <c r="AM44" s="4"/>
      <c r="AN44" s="4"/>
      <c r="AO44" s="4"/>
      <c r="AP44" s="4"/>
      <c r="AQ44" s="4"/>
      <c r="AR44" s="22">
        <v>0</v>
      </c>
    </row>
    <row r="45" spans="1:44" s="22" customFormat="1" ht="17.25" hidden="1" customHeight="1">
      <c r="A45" s="108"/>
      <c r="D45" s="698"/>
      <c r="E45" s="698"/>
      <c r="F45" s="689"/>
      <c r="G45" s="698"/>
      <c r="H45" s="700"/>
      <c r="I45" s="682"/>
      <c r="J45" s="682"/>
      <c r="K45" s="665"/>
      <c r="L45" s="665"/>
      <c r="M45" s="665"/>
      <c r="N45" s="682"/>
      <c r="O45" s="665"/>
      <c r="P45" s="23"/>
      <c r="Q45" s="439"/>
      <c r="R45" s="439"/>
      <c r="W45" s="440"/>
      <c r="X45" s="4"/>
      <c r="Y45" s="4"/>
      <c r="Z45" s="4"/>
      <c r="AA45" s="4"/>
      <c r="AB45" s="4"/>
      <c r="AC45" s="4"/>
      <c r="AD45" s="4"/>
      <c r="AE45" s="4"/>
      <c r="AF45" s="4"/>
      <c r="AG45" s="4"/>
      <c r="AH45" s="4"/>
      <c r="AI45" s="4"/>
      <c r="AJ45" s="4"/>
      <c r="AK45" s="4"/>
      <c r="AL45" s="4"/>
      <c r="AM45" s="4"/>
      <c r="AN45" s="4"/>
      <c r="AO45" s="4"/>
      <c r="AP45" s="4"/>
      <c r="AQ45" s="4"/>
      <c r="AR45" s="22">
        <v>0</v>
      </c>
    </row>
    <row r="46" spans="1:44" s="22" customFormat="1" ht="17.25" hidden="1" customHeight="1">
      <c r="A46" s="108"/>
      <c r="C46" s="16"/>
      <c r="D46" s="698"/>
      <c r="E46" s="698"/>
      <c r="F46" s="689"/>
      <c r="G46" s="698"/>
      <c r="H46" s="700"/>
      <c r="I46" s="682"/>
      <c r="J46" s="682"/>
      <c r="K46" s="665"/>
      <c r="L46" s="439"/>
      <c r="M46" s="439"/>
      <c r="N46" s="439"/>
      <c r="O46" s="439"/>
      <c r="P46" s="439"/>
      <c r="Q46" s="439"/>
      <c r="R46" s="439"/>
      <c r="W46" s="440"/>
      <c r="Y46" s="4"/>
      <c r="Z46" s="4"/>
      <c r="AA46" s="4"/>
      <c r="AB46" s="4"/>
      <c r="AC46" s="4"/>
      <c r="AD46" s="4"/>
      <c r="AE46" s="4"/>
      <c r="AF46" s="4"/>
      <c r="AG46" s="4"/>
      <c r="AH46" s="4"/>
      <c r="AI46" s="4"/>
      <c r="AJ46" s="4"/>
      <c r="AK46" s="4"/>
      <c r="AL46" s="4"/>
      <c r="AM46" s="4"/>
      <c r="AN46" s="4"/>
      <c r="AO46" s="4"/>
      <c r="AP46" s="4"/>
      <c r="AQ46" s="4"/>
      <c r="AR46" s="22">
        <v>0</v>
      </c>
    </row>
    <row r="47" spans="1:44" s="22" customFormat="1" ht="17.25" hidden="1" customHeight="1">
      <c r="A47" s="108"/>
      <c r="D47" s="698"/>
      <c r="E47" s="698"/>
      <c r="F47" s="687"/>
      <c r="G47" s="698"/>
      <c r="H47" s="441"/>
      <c r="I47" s="442"/>
      <c r="J47" s="442"/>
      <c r="K47" s="442"/>
      <c r="L47" s="442"/>
      <c r="M47" s="442"/>
      <c r="N47" s="442"/>
      <c r="O47" s="442"/>
      <c r="P47" s="442"/>
      <c r="Q47" s="442"/>
      <c r="R47" s="442"/>
      <c r="S47" s="443"/>
      <c r="T47" s="443"/>
      <c r="U47" s="443"/>
      <c r="V47" s="443"/>
      <c r="W47" s="444"/>
      <c r="X47" s="4"/>
      <c r="Y47" s="4"/>
      <c r="Z47" s="4"/>
      <c r="AA47" s="4"/>
      <c r="AB47" s="4"/>
      <c r="AC47" s="4"/>
      <c r="AD47" s="4"/>
      <c r="AE47" s="4"/>
      <c r="AF47" s="4"/>
      <c r="AG47" s="4"/>
      <c r="AH47" s="4"/>
      <c r="AI47" s="4"/>
      <c r="AJ47" s="4"/>
      <c r="AK47" s="4"/>
      <c r="AL47" s="4"/>
      <c r="AM47" s="4"/>
      <c r="AN47" s="4"/>
      <c r="AO47" s="4"/>
      <c r="AP47" s="4"/>
      <c r="AQ47" s="4"/>
      <c r="AR47" s="22">
        <v>0</v>
      </c>
    </row>
    <row r="48" spans="1:44" s="22" customFormat="1" ht="17.25" hidden="1" customHeight="1">
      <c r="A48" s="108"/>
      <c r="C48" s="16"/>
      <c r="D48" s="702">
        <v>7</v>
      </c>
      <c r="E48" s="673" t="s">
        <v>195</v>
      </c>
      <c r="F48" s="686" t="s">
        <v>19</v>
      </c>
      <c r="G48" s="673"/>
      <c r="H48" s="699"/>
      <c r="I48" s="696"/>
      <c r="J48" s="697"/>
      <c r="K48" s="697"/>
      <c r="L48" s="697"/>
      <c r="M48" s="697"/>
      <c r="N48" s="696"/>
      <c r="O48" s="697"/>
      <c r="P48" s="697"/>
      <c r="Q48" s="697"/>
      <c r="R48" s="696"/>
      <c r="S48" s="697"/>
      <c r="T48" s="470"/>
      <c r="U48" s="470"/>
      <c r="V48" s="469"/>
      <c r="W48" s="438"/>
      <c r="X48" s="4"/>
      <c r="Y48" s="4"/>
      <c r="Z48" s="4"/>
      <c r="AA48" s="4"/>
      <c r="AB48" s="4"/>
      <c r="AC48" s="4" t="s">
        <v>196</v>
      </c>
      <c r="AD48" s="4" t="s">
        <v>197</v>
      </c>
      <c r="AE48" s="4" t="s">
        <v>198</v>
      </c>
      <c r="AF48" s="4" t="s">
        <v>199</v>
      </c>
      <c r="AG48" s="4" t="s">
        <v>200</v>
      </c>
      <c r="AH48" s="4" t="str">
        <f>IF($E$48=0,"",$E$48)</f>
        <v>Плата за услуги по поддержанию резервной тепловой мощности при отсутствии потребления тепловой энергии</v>
      </c>
      <c r="AI48" s="4" t="str">
        <f>IF($G$48=0,"",$G$48)</f>
        <v/>
      </c>
      <c r="AJ48" s="4" t="str">
        <f>IF($J$48=0,"",$J$48)</f>
        <v/>
      </c>
      <c r="AK48" s="4" t="str">
        <f>IF($K$48="нет","без дифференциации",IF($N$48=0,"",$N$48))</f>
        <v/>
      </c>
      <c r="AL48" s="4" t="str">
        <f>IF($O$48="нет","без дифференциации",IF($R$48=0,"",$R$48))</f>
        <v/>
      </c>
      <c r="AM48" s="4" t="str">
        <f>IF($S$48="нет","без дифференциации",IF($V$48=0,"",$V$48))</f>
        <v/>
      </c>
      <c r="AN48" s="23">
        <f>$I$48</f>
        <v>0</v>
      </c>
      <c r="AO48" s="4" t="str">
        <f>$I$48&amp;"."&amp;$M$48</f>
        <v>.</v>
      </c>
      <c r="AP48" s="4" t="str">
        <f>$I$48&amp;"."&amp;$M$48&amp;"."&amp;$Q$48</f>
        <v>..</v>
      </c>
      <c r="AQ48" s="4" t="str">
        <f>$I$48&amp;"."&amp;$M$48&amp;"."&amp;$Q$48&amp;"."&amp;$U$48</f>
        <v>...</v>
      </c>
      <c r="AR48" s="22">
        <v>0</v>
      </c>
    </row>
    <row r="49" spans="1:44" s="22" customFormat="1" ht="17.25" hidden="1" customHeight="1">
      <c r="A49" s="108"/>
      <c r="D49" s="703"/>
      <c r="E49" s="705"/>
      <c r="F49" s="689"/>
      <c r="G49" s="705"/>
      <c r="H49" s="700"/>
      <c r="I49" s="682"/>
      <c r="J49" s="665"/>
      <c r="K49" s="665"/>
      <c r="L49" s="665"/>
      <c r="M49" s="665"/>
      <c r="N49" s="682"/>
      <c r="O49" s="665"/>
      <c r="P49" s="665"/>
      <c r="Q49" s="665"/>
      <c r="R49" s="682"/>
      <c r="S49" s="665"/>
      <c r="T49" s="439"/>
      <c r="U49" s="439"/>
      <c r="V49" s="439"/>
      <c r="W49" s="440"/>
      <c r="X49" s="4"/>
      <c r="Y49" s="4"/>
      <c r="Z49" s="4"/>
      <c r="AA49" s="4"/>
      <c r="AB49" s="4"/>
      <c r="AC49" s="4"/>
      <c r="AD49" s="4"/>
      <c r="AE49" s="4"/>
      <c r="AF49" s="4"/>
      <c r="AG49" s="4"/>
      <c r="AH49" s="4"/>
      <c r="AI49" s="4"/>
      <c r="AJ49" s="4"/>
      <c r="AK49" s="4"/>
      <c r="AL49" s="4"/>
      <c r="AM49" s="4"/>
      <c r="AN49" s="4"/>
      <c r="AO49" s="4"/>
      <c r="AP49" s="4"/>
      <c r="AQ49" s="4"/>
      <c r="AR49" s="22">
        <v>0</v>
      </c>
    </row>
    <row r="50" spans="1:44" s="22" customFormat="1" ht="17.25" hidden="1" customHeight="1">
      <c r="A50" s="108"/>
      <c r="D50" s="703"/>
      <c r="E50" s="705"/>
      <c r="F50" s="689"/>
      <c r="G50" s="705"/>
      <c r="H50" s="700"/>
      <c r="I50" s="682"/>
      <c r="J50" s="682"/>
      <c r="K50" s="665"/>
      <c r="L50" s="665"/>
      <c r="M50" s="665"/>
      <c r="N50" s="682"/>
      <c r="O50" s="665"/>
      <c r="P50" s="23"/>
      <c r="Q50" s="439"/>
      <c r="R50" s="439"/>
      <c r="W50" s="440"/>
      <c r="X50" s="4"/>
      <c r="Y50" s="4"/>
      <c r="Z50" s="4"/>
      <c r="AA50" s="4"/>
      <c r="AB50" s="4"/>
      <c r="AC50" s="4"/>
      <c r="AD50" s="4"/>
      <c r="AE50" s="4"/>
      <c r="AF50" s="4"/>
      <c r="AG50" s="4"/>
      <c r="AH50" s="4"/>
      <c r="AI50" s="4"/>
      <c r="AJ50" s="4"/>
      <c r="AK50" s="4"/>
      <c r="AL50" s="4"/>
      <c r="AM50" s="4"/>
      <c r="AN50" s="4"/>
      <c r="AO50" s="4"/>
      <c r="AP50" s="4"/>
      <c r="AQ50" s="4"/>
      <c r="AR50" s="22">
        <v>0</v>
      </c>
    </row>
    <row r="51" spans="1:44" s="22" customFormat="1" ht="17.25" hidden="1" customHeight="1">
      <c r="A51" s="108"/>
      <c r="C51" s="16"/>
      <c r="D51" s="703"/>
      <c r="E51" s="705"/>
      <c r="F51" s="689"/>
      <c r="G51" s="705"/>
      <c r="H51" s="700"/>
      <c r="I51" s="682"/>
      <c r="J51" s="682"/>
      <c r="K51" s="665"/>
      <c r="L51" s="439"/>
      <c r="M51" s="439"/>
      <c r="N51" s="439"/>
      <c r="O51" s="439"/>
      <c r="P51" s="439"/>
      <c r="Q51" s="439"/>
      <c r="R51" s="439"/>
      <c r="W51" s="440"/>
      <c r="Y51" s="4"/>
      <c r="Z51" s="4"/>
      <c r="AA51" s="4"/>
      <c r="AB51" s="4"/>
      <c r="AC51" s="4"/>
      <c r="AD51" s="4"/>
      <c r="AE51" s="4"/>
      <c r="AF51" s="4"/>
      <c r="AG51" s="4"/>
      <c r="AH51" s="4"/>
      <c r="AI51" s="4"/>
      <c r="AJ51" s="4"/>
      <c r="AK51" s="4"/>
      <c r="AL51" s="4"/>
      <c r="AM51" s="4"/>
      <c r="AN51" s="4"/>
      <c r="AO51" s="4"/>
      <c r="AP51" s="4"/>
      <c r="AQ51" s="4"/>
      <c r="AR51" s="22">
        <v>0</v>
      </c>
    </row>
    <row r="52" spans="1:44" s="22" customFormat="1" ht="17.25" hidden="1" customHeight="1">
      <c r="A52" s="108"/>
      <c r="D52" s="704"/>
      <c r="E52" s="676"/>
      <c r="F52" s="687"/>
      <c r="G52" s="676"/>
      <c r="H52" s="441"/>
      <c r="I52" s="442"/>
      <c r="J52" s="442"/>
      <c r="K52" s="442"/>
      <c r="L52" s="442"/>
      <c r="M52" s="442"/>
      <c r="N52" s="442"/>
      <c r="O52" s="442"/>
      <c r="P52" s="442"/>
      <c r="Q52" s="442"/>
      <c r="R52" s="442"/>
      <c r="S52" s="443"/>
      <c r="T52" s="443"/>
      <c r="U52" s="443"/>
      <c r="V52" s="443"/>
      <c r="W52" s="444"/>
      <c r="X52" s="4"/>
      <c r="Y52" s="4"/>
      <c r="Z52" s="4"/>
      <c r="AA52" s="4"/>
      <c r="AB52" s="4"/>
      <c r="AC52" s="4"/>
      <c r="AD52" s="4"/>
      <c r="AE52" s="4"/>
      <c r="AF52" s="4"/>
      <c r="AG52" s="4"/>
      <c r="AH52" s="4"/>
      <c r="AI52" s="4"/>
      <c r="AJ52" s="4"/>
      <c r="AK52" s="4"/>
      <c r="AL52" s="4"/>
      <c r="AM52" s="4"/>
      <c r="AN52" s="4"/>
      <c r="AO52" s="4"/>
      <c r="AP52" s="4"/>
      <c r="AQ52" s="4"/>
      <c r="AR52" s="22">
        <v>0</v>
      </c>
    </row>
    <row r="53" spans="1:44" s="22" customFormat="1" ht="17.25" hidden="1" customHeight="1">
      <c r="A53" s="108"/>
      <c r="C53" s="16"/>
      <c r="D53" s="698">
        <v>8</v>
      </c>
      <c r="E53" s="679" t="s">
        <v>201</v>
      </c>
      <c r="F53" s="686" t="s">
        <v>19</v>
      </c>
      <c r="G53" s="679"/>
      <c r="H53" s="699"/>
      <c r="I53" s="696"/>
      <c r="J53" s="697"/>
      <c r="K53" s="697"/>
      <c r="L53" s="697"/>
      <c r="M53" s="697"/>
      <c r="N53" s="696"/>
      <c r="O53" s="697"/>
      <c r="P53" s="697"/>
      <c r="Q53" s="697"/>
      <c r="R53" s="696"/>
      <c r="S53" s="697"/>
      <c r="T53" s="470"/>
      <c r="U53" s="470"/>
      <c r="V53" s="469"/>
      <c r="W53" s="438"/>
      <c r="X53" s="4"/>
      <c r="Y53" s="4"/>
      <c r="Z53" s="4"/>
      <c r="AA53" s="4"/>
      <c r="AB53" s="4"/>
      <c r="AC53" s="4" t="s">
        <v>202</v>
      </c>
      <c r="AD53" s="4" t="s">
        <v>203</v>
      </c>
      <c r="AE53" s="4" t="s">
        <v>204</v>
      </c>
      <c r="AF53" s="4" t="s">
        <v>205</v>
      </c>
      <c r="AG53" s="4" t="s">
        <v>206</v>
      </c>
      <c r="AH53" s="4" t="str">
        <f>IF($E$53=0,"",$E$53)</f>
        <v>Плата за подключение (технологическое присоединение) к системе теплоснабжения</v>
      </c>
      <c r="AI53" s="4" t="str">
        <f>IF($G$53=0,"",$G$53)</f>
        <v/>
      </c>
      <c r="AJ53" s="4" t="str">
        <f>IF($J$53=0,"",$J$53)</f>
        <v/>
      </c>
      <c r="AK53" s="4" t="str">
        <f>IF($K$53="нет","без дифференциации",IF($N$53=0,"",$N$53))</f>
        <v/>
      </c>
      <c r="AL53" s="4" t="str">
        <f>IF($O$53="нет","без дифференциации",IF($R$53=0,"",$R$53))</f>
        <v/>
      </c>
      <c r="AM53" s="4" t="str">
        <f>IF($S$53="нет","без дифференциации",IF($V$53=0,"",$V$53))</f>
        <v/>
      </c>
      <c r="AN53" s="23">
        <f>$I$53</f>
        <v>0</v>
      </c>
      <c r="AO53" s="4" t="str">
        <f>$I$53&amp;"."&amp;$M$53</f>
        <v>.</v>
      </c>
      <c r="AP53" s="4" t="str">
        <f>$I$53&amp;"."&amp;$M$53&amp;"."&amp;$Q$53</f>
        <v>..</v>
      </c>
      <c r="AQ53" s="4" t="str">
        <f>$I$53&amp;"."&amp;$M$53&amp;"."&amp;$Q$53&amp;"."&amp;$U$53</f>
        <v>...</v>
      </c>
      <c r="AR53" s="22">
        <v>0</v>
      </c>
    </row>
    <row r="54" spans="1:44" s="22" customFormat="1" ht="17.25" hidden="1" customHeight="1">
      <c r="A54" s="108"/>
      <c r="D54" s="698"/>
      <c r="E54" s="679"/>
      <c r="F54" s="689"/>
      <c r="G54" s="679"/>
      <c r="H54" s="700"/>
      <c r="I54" s="682"/>
      <c r="J54" s="665"/>
      <c r="K54" s="665"/>
      <c r="L54" s="665"/>
      <c r="M54" s="665"/>
      <c r="N54" s="682"/>
      <c r="O54" s="665"/>
      <c r="P54" s="665"/>
      <c r="Q54" s="665"/>
      <c r="R54" s="682"/>
      <c r="S54" s="665"/>
      <c r="T54" s="439"/>
      <c r="U54" s="439"/>
      <c r="V54" s="439"/>
      <c r="W54" s="440"/>
      <c r="X54" s="4"/>
      <c r="Y54" s="4"/>
      <c r="Z54" s="4"/>
      <c r="AA54" s="4"/>
      <c r="AB54" s="4"/>
      <c r="AC54" s="4"/>
      <c r="AD54" s="4"/>
      <c r="AE54" s="4"/>
      <c r="AF54" s="4"/>
      <c r="AG54" s="4"/>
      <c r="AH54" s="4"/>
      <c r="AI54" s="4"/>
      <c r="AJ54" s="4"/>
      <c r="AK54" s="4"/>
      <c r="AL54" s="4"/>
      <c r="AM54" s="4"/>
      <c r="AN54" s="4"/>
      <c r="AO54" s="4"/>
      <c r="AP54" s="4"/>
      <c r="AQ54" s="4"/>
      <c r="AR54" s="22">
        <v>0</v>
      </c>
    </row>
    <row r="55" spans="1:44" s="22" customFormat="1" ht="17.25" hidden="1" customHeight="1">
      <c r="A55" s="108"/>
      <c r="D55" s="698"/>
      <c r="E55" s="698"/>
      <c r="F55" s="689"/>
      <c r="G55" s="698"/>
      <c r="H55" s="700"/>
      <c r="I55" s="682"/>
      <c r="J55" s="682"/>
      <c r="K55" s="665"/>
      <c r="L55" s="665"/>
      <c r="M55" s="665"/>
      <c r="N55" s="682"/>
      <c r="O55" s="665"/>
      <c r="P55" s="23"/>
      <c r="Q55" s="439"/>
      <c r="R55" s="439"/>
      <c r="W55" s="440"/>
      <c r="X55" s="4"/>
      <c r="Y55" s="4"/>
      <c r="Z55" s="4"/>
      <c r="AA55" s="4"/>
      <c r="AB55" s="4"/>
      <c r="AC55" s="4"/>
      <c r="AD55" s="4"/>
      <c r="AE55" s="4"/>
      <c r="AF55" s="4"/>
      <c r="AG55" s="4"/>
      <c r="AH55" s="4"/>
      <c r="AI55" s="4"/>
      <c r="AJ55" s="4"/>
      <c r="AK55" s="4"/>
      <c r="AL55" s="4"/>
      <c r="AM55" s="4"/>
      <c r="AN55" s="4"/>
      <c r="AO55" s="4"/>
      <c r="AP55" s="4"/>
      <c r="AQ55" s="4"/>
      <c r="AR55" s="22">
        <v>0</v>
      </c>
    </row>
    <row r="56" spans="1:44" s="22" customFormat="1" ht="17.25" hidden="1" customHeight="1">
      <c r="A56" s="108"/>
      <c r="C56" s="16"/>
      <c r="D56" s="698"/>
      <c r="E56" s="698"/>
      <c r="F56" s="689"/>
      <c r="G56" s="698"/>
      <c r="H56" s="700"/>
      <c r="I56" s="682"/>
      <c r="J56" s="682"/>
      <c r="K56" s="665"/>
      <c r="L56" s="439"/>
      <c r="M56" s="439"/>
      <c r="N56" s="439"/>
      <c r="O56" s="439"/>
      <c r="P56" s="439"/>
      <c r="Q56" s="439"/>
      <c r="R56" s="439"/>
      <c r="W56" s="440"/>
      <c r="Y56" s="4"/>
      <c r="Z56" s="4"/>
      <c r="AA56" s="4"/>
      <c r="AB56" s="4"/>
      <c r="AC56" s="4"/>
      <c r="AD56" s="4"/>
      <c r="AE56" s="4"/>
      <c r="AF56" s="4"/>
      <c r="AG56" s="4"/>
      <c r="AH56" s="4"/>
      <c r="AI56" s="4"/>
      <c r="AJ56" s="4"/>
      <c r="AK56" s="4"/>
      <c r="AL56" s="4"/>
      <c r="AM56" s="4"/>
      <c r="AN56" s="4"/>
      <c r="AO56" s="4"/>
      <c r="AP56" s="4"/>
      <c r="AQ56" s="4"/>
      <c r="AR56" s="22">
        <v>0</v>
      </c>
    </row>
    <row r="57" spans="1:44" s="22" customFormat="1" ht="17.25" hidden="1" customHeight="1">
      <c r="A57" s="108"/>
      <c r="D57" s="698"/>
      <c r="E57" s="698"/>
      <c r="F57" s="687"/>
      <c r="G57" s="698"/>
      <c r="H57" s="441"/>
      <c r="I57" s="442"/>
      <c r="J57" s="442"/>
      <c r="K57" s="442"/>
      <c r="L57" s="442"/>
      <c r="M57" s="442"/>
      <c r="N57" s="442"/>
      <c r="O57" s="442"/>
      <c r="P57" s="442"/>
      <c r="Q57" s="442"/>
      <c r="R57" s="442"/>
      <c r="S57" s="443"/>
      <c r="T57" s="443"/>
      <c r="U57" s="443"/>
      <c r="V57" s="443"/>
      <c r="W57" s="444"/>
      <c r="X57" s="4"/>
      <c r="Y57" s="4"/>
      <c r="Z57" s="4"/>
      <c r="AA57" s="4"/>
      <c r="AB57" s="4"/>
      <c r="AC57" s="4"/>
      <c r="AD57" s="4"/>
      <c r="AE57" s="4"/>
      <c r="AF57" s="4"/>
      <c r="AG57" s="4"/>
      <c r="AH57" s="4"/>
      <c r="AI57" s="4"/>
      <c r="AJ57" s="4"/>
      <c r="AK57" s="4"/>
      <c r="AL57" s="4"/>
      <c r="AM57" s="4"/>
      <c r="AN57" s="4"/>
      <c r="AO57" s="4"/>
      <c r="AP57" s="4"/>
      <c r="AQ57" s="4"/>
      <c r="AR57" s="22">
        <v>0</v>
      </c>
    </row>
    <row r="58" spans="1:44" s="22" customFormat="1" ht="17.25" hidden="1" customHeight="1">
      <c r="A58" s="108"/>
      <c r="C58" s="16"/>
      <c r="D58" s="698">
        <v>9</v>
      </c>
      <c r="E58" s="679" t="s">
        <v>207</v>
      </c>
      <c r="F58" s="686" t="s">
        <v>19</v>
      </c>
      <c r="G58" s="679"/>
      <c r="H58" s="699"/>
      <c r="I58" s="696"/>
      <c r="J58" s="697"/>
      <c r="K58" s="697"/>
      <c r="L58" s="697"/>
      <c r="M58" s="697"/>
      <c r="N58" s="696"/>
      <c r="O58" s="697"/>
      <c r="P58" s="697"/>
      <c r="Q58" s="697"/>
      <c r="R58" s="696"/>
      <c r="S58" s="697"/>
      <c r="T58" s="470"/>
      <c r="U58" s="470"/>
      <c r="V58" s="469"/>
      <c r="W58" s="438"/>
      <c r="X58" s="4"/>
      <c r="Y58" s="4"/>
      <c r="Z58" s="4"/>
      <c r="AA58" s="4"/>
      <c r="AB58" s="4"/>
      <c r="AC58" s="4" t="s">
        <v>208</v>
      </c>
      <c r="AD58" s="4" t="s">
        <v>209</v>
      </c>
      <c r="AE58" s="4" t="s">
        <v>210</v>
      </c>
      <c r="AF58" s="4" t="s">
        <v>211</v>
      </c>
      <c r="AG58" s="4" t="s">
        <v>212</v>
      </c>
      <c r="AH58" s="4" t="str">
        <f>IF($E$58=0,"",$E$58)</f>
        <v>Плата за подключение (технологическое присоединение) к системе теплоснабжения (индивидуальная)</v>
      </c>
      <c r="AI58" s="4" t="str">
        <f>IF($G$58=0,"",$G$58)</f>
        <v/>
      </c>
      <c r="AJ58" s="4" t="str">
        <f>IF($J$58=0,"",$J$58)</f>
        <v/>
      </c>
      <c r="AK58" s="4" t="str">
        <f>IF($K$58="нет","без дифференциации",IF($N$58=0,"",$N$58))</f>
        <v/>
      </c>
      <c r="AL58" s="4" t="str">
        <f>IF($O$58="нет","без дифференциации",IF($R$58=0,"",$R$58))</f>
        <v/>
      </c>
      <c r="AM58" s="4" t="str">
        <f>IF($S$58="нет","без дифференциации",IF($V$58=0,"",$V$58))</f>
        <v/>
      </c>
      <c r="AN58" s="23">
        <f>$I$58</f>
        <v>0</v>
      </c>
      <c r="AO58" s="4" t="str">
        <f>$I$58&amp;"."&amp;$M$58</f>
        <v>.</v>
      </c>
      <c r="AP58" s="4" t="str">
        <f>$I$58&amp;"."&amp;$M$58&amp;"."&amp;$Q$58</f>
        <v>..</v>
      </c>
      <c r="AQ58" s="4" t="str">
        <f>$I$58&amp;"."&amp;$M$58&amp;"."&amp;$Q$58&amp;"."&amp;$U$58</f>
        <v>...</v>
      </c>
      <c r="AR58" s="22">
        <v>0</v>
      </c>
    </row>
    <row r="59" spans="1:44" s="22" customFormat="1" ht="17.25" hidden="1" customHeight="1">
      <c r="A59" s="108"/>
      <c r="D59" s="698"/>
      <c r="E59" s="679"/>
      <c r="F59" s="689"/>
      <c r="G59" s="679"/>
      <c r="H59" s="700"/>
      <c r="I59" s="682"/>
      <c r="J59" s="665"/>
      <c r="K59" s="665"/>
      <c r="L59" s="665"/>
      <c r="M59" s="665"/>
      <c r="N59" s="682"/>
      <c r="O59" s="665"/>
      <c r="P59" s="665"/>
      <c r="Q59" s="665"/>
      <c r="R59" s="682"/>
      <c r="S59" s="665"/>
      <c r="T59" s="439"/>
      <c r="U59" s="439"/>
      <c r="V59" s="439"/>
      <c r="W59" s="440"/>
      <c r="X59" s="4"/>
      <c r="Y59" s="4"/>
      <c r="Z59" s="4"/>
      <c r="AA59" s="4"/>
      <c r="AB59" s="4"/>
      <c r="AC59" s="4"/>
      <c r="AD59" s="4"/>
      <c r="AE59" s="4"/>
      <c r="AF59" s="4"/>
      <c r="AG59" s="4"/>
      <c r="AH59" s="4"/>
      <c r="AI59" s="4"/>
      <c r="AJ59" s="4"/>
      <c r="AK59" s="4"/>
      <c r="AL59" s="4"/>
      <c r="AM59" s="4"/>
      <c r="AN59" s="4"/>
      <c r="AO59" s="4"/>
      <c r="AP59" s="4"/>
      <c r="AQ59" s="4"/>
      <c r="AR59" s="22">
        <v>0</v>
      </c>
    </row>
    <row r="60" spans="1:44" s="22" customFormat="1" ht="17.25" hidden="1" customHeight="1">
      <c r="A60" s="108"/>
      <c r="D60" s="698"/>
      <c r="E60" s="698"/>
      <c r="F60" s="689"/>
      <c r="G60" s="698"/>
      <c r="H60" s="700"/>
      <c r="I60" s="682"/>
      <c r="J60" s="682"/>
      <c r="K60" s="665"/>
      <c r="L60" s="665"/>
      <c r="M60" s="665"/>
      <c r="N60" s="682"/>
      <c r="O60" s="665"/>
      <c r="P60" s="23"/>
      <c r="Q60" s="439"/>
      <c r="R60" s="439"/>
      <c r="W60" s="440"/>
      <c r="X60" s="4"/>
      <c r="Y60" s="4"/>
      <c r="Z60" s="4"/>
      <c r="AA60" s="4"/>
      <c r="AB60" s="4"/>
      <c r="AC60" s="4"/>
      <c r="AD60" s="4"/>
      <c r="AE60" s="4"/>
      <c r="AF60" s="4"/>
      <c r="AG60" s="4"/>
      <c r="AH60" s="4"/>
      <c r="AI60" s="4"/>
      <c r="AJ60" s="4"/>
      <c r="AK60" s="4"/>
      <c r="AL60" s="4"/>
      <c r="AM60" s="4"/>
      <c r="AN60" s="4"/>
      <c r="AO60" s="4"/>
      <c r="AP60" s="4"/>
      <c r="AQ60" s="4"/>
      <c r="AR60" s="22">
        <v>0</v>
      </c>
    </row>
    <row r="61" spans="1:44" s="22" customFormat="1" ht="17.25" hidden="1" customHeight="1">
      <c r="A61" s="108"/>
      <c r="C61" s="16"/>
      <c r="D61" s="698"/>
      <c r="E61" s="698"/>
      <c r="F61" s="689"/>
      <c r="G61" s="698"/>
      <c r="H61" s="700"/>
      <c r="I61" s="682"/>
      <c r="J61" s="682"/>
      <c r="K61" s="665"/>
      <c r="L61" s="439"/>
      <c r="M61" s="439"/>
      <c r="N61" s="439"/>
      <c r="O61" s="439"/>
      <c r="P61" s="439"/>
      <c r="Q61" s="439"/>
      <c r="R61" s="439"/>
      <c r="W61" s="440"/>
      <c r="Y61" s="4"/>
      <c r="Z61" s="4"/>
      <c r="AA61" s="4"/>
      <c r="AB61" s="4"/>
      <c r="AC61" s="4"/>
      <c r="AD61" s="4"/>
      <c r="AE61" s="4"/>
      <c r="AF61" s="4"/>
      <c r="AG61" s="4"/>
      <c r="AH61" s="4"/>
      <c r="AI61" s="4"/>
      <c r="AJ61" s="4"/>
      <c r="AK61" s="4"/>
      <c r="AL61" s="4"/>
      <c r="AM61" s="4"/>
      <c r="AN61" s="4"/>
      <c r="AO61" s="4"/>
      <c r="AP61" s="4"/>
      <c r="AQ61" s="4"/>
      <c r="AR61" s="22">
        <v>0</v>
      </c>
    </row>
    <row r="62" spans="1:44" s="22" customFormat="1" ht="17.25" hidden="1" customHeight="1">
      <c r="A62" s="108"/>
      <c r="D62" s="698"/>
      <c r="E62" s="698"/>
      <c r="F62" s="687"/>
      <c r="G62" s="698"/>
      <c r="H62" s="441"/>
      <c r="I62" s="442"/>
      <c r="J62" s="442"/>
      <c r="K62" s="442"/>
      <c r="L62" s="442"/>
      <c r="M62" s="442"/>
      <c r="N62" s="442"/>
      <c r="O62" s="442"/>
      <c r="P62" s="442"/>
      <c r="Q62" s="442"/>
      <c r="R62" s="442"/>
      <c r="S62" s="443"/>
      <c r="T62" s="443"/>
      <c r="U62" s="443"/>
      <c r="V62" s="443"/>
      <c r="W62" s="444"/>
      <c r="X62" s="4"/>
      <c r="Y62" s="4"/>
      <c r="Z62" s="4"/>
      <c r="AA62" s="4"/>
      <c r="AB62" s="4"/>
      <c r="AC62" s="4"/>
      <c r="AD62" s="4"/>
      <c r="AE62" s="4"/>
      <c r="AF62" s="4"/>
      <c r="AG62" s="4"/>
      <c r="AH62" s="4"/>
      <c r="AI62" s="4"/>
      <c r="AJ62" s="4"/>
      <c r="AK62" s="4"/>
      <c r="AL62" s="4"/>
      <c r="AM62" s="4"/>
      <c r="AN62" s="4"/>
      <c r="AO62" s="4"/>
      <c r="AP62" s="4"/>
      <c r="AQ62" s="4"/>
      <c r="AR62" s="22">
        <v>0</v>
      </c>
    </row>
    <row r="63" spans="1:44" s="22" customFormat="1" ht="17.25" hidden="1" customHeight="1">
      <c r="A63" s="108"/>
      <c r="C63" s="16"/>
      <c r="D63" s="698">
        <v>10</v>
      </c>
      <c r="E63" s="679" t="s">
        <v>213</v>
      </c>
      <c r="F63" s="686" t="s">
        <v>19</v>
      </c>
      <c r="G63" s="679"/>
      <c r="H63" s="699"/>
      <c r="I63" s="696"/>
      <c r="J63" s="697"/>
      <c r="K63" s="697"/>
      <c r="L63" s="697"/>
      <c r="M63" s="697"/>
      <c r="N63" s="696"/>
      <c r="O63" s="697"/>
      <c r="P63" s="697"/>
      <c r="Q63" s="697"/>
      <c r="R63" s="696"/>
      <c r="S63" s="697"/>
      <c r="T63" s="470"/>
      <c r="U63" s="470"/>
      <c r="V63" s="469"/>
      <c r="W63" s="438"/>
      <c r="X63" s="4"/>
      <c r="Y63" s="4"/>
      <c r="Z63" s="4"/>
      <c r="AA63" s="4"/>
      <c r="AB63" s="4"/>
      <c r="AC63" s="4" t="s">
        <v>214</v>
      </c>
      <c r="AD63" s="4" t="s">
        <v>215</v>
      </c>
      <c r="AE63" s="4" t="s">
        <v>216</v>
      </c>
      <c r="AF63" s="4" t="s">
        <v>217</v>
      </c>
      <c r="AG63" s="4" t="s">
        <v>218</v>
      </c>
      <c r="AH63" s="4" t="str">
        <f>IF($E$63=0,"",$E$63)</f>
        <v>Предельный уровень цены на тепловую энергию (мощность), поставляемую теплоснабжающими организациями потребителям</v>
      </c>
      <c r="AI63" s="4" t="str">
        <f>IF($G$63=0,"",$G$63)</f>
        <v/>
      </c>
      <c r="AJ63" s="4" t="str">
        <f>IF($J$63=0,"",$J$63)</f>
        <v/>
      </c>
      <c r="AK63" s="4" t="str">
        <f>IF($K$63="нет","без дифференциации",IF($N$63=0,"",$N$63))</f>
        <v/>
      </c>
      <c r="AL63" s="4" t="str">
        <f>IF($O$63="нет","без дифференциации",IF($R$63=0,"",$R$63))</f>
        <v/>
      </c>
      <c r="AM63" s="4" t="str">
        <f>IF($S$63="нет","без дифференциации",IF($V$63=0,"",$V$63))</f>
        <v/>
      </c>
      <c r="AN63" s="23">
        <f>$I$63</f>
        <v>0</v>
      </c>
      <c r="AO63" s="4" t="str">
        <f>$I$63&amp;"."&amp;$M$63</f>
        <v>.</v>
      </c>
      <c r="AP63" s="4" t="str">
        <f>$I$63&amp;"."&amp;$M$63&amp;"."&amp;$Q$63</f>
        <v>..</v>
      </c>
      <c r="AQ63" s="4" t="str">
        <f>$I$63&amp;"."&amp;$M$63&amp;"."&amp;$Q$63&amp;"."&amp;$U$63</f>
        <v>...</v>
      </c>
      <c r="AR63" s="22">
        <v>0</v>
      </c>
    </row>
    <row r="64" spans="1:44" s="22" customFormat="1" ht="17.25" hidden="1" customHeight="1">
      <c r="A64" s="108"/>
      <c r="D64" s="698"/>
      <c r="E64" s="679"/>
      <c r="F64" s="689"/>
      <c r="G64" s="679"/>
      <c r="H64" s="700"/>
      <c r="I64" s="682"/>
      <c r="J64" s="665"/>
      <c r="K64" s="665"/>
      <c r="L64" s="665"/>
      <c r="M64" s="665"/>
      <c r="N64" s="682"/>
      <c r="O64" s="665"/>
      <c r="P64" s="665"/>
      <c r="Q64" s="665"/>
      <c r="R64" s="682"/>
      <c r="S64" s="665"/>
      <c r="T64" s="439"/>
      <c r="U64" s="439"/>
      <c r="V64" s="439"/>
      <c r="W64" s="440"/>
      <c r="X64" s="4"/>
      <c r="Y64" s="4"/>
      <c r="Z64" s="4"/>
      <c r="AA64" s="4"/>
      <c r="AB64" s="4"/>
      <c r="AC64" s="4"/>
      <c r="AD64" s="4"/>
      <c r="AE64" s="4"/>
      <c r="AF64" s="4"/>
      <c r="AG64" s="4"/>
      <c r="AH64" s="4"/>
      <c r="AI64" s="4"/>
      <c r="AJ64" s="4"/>
      <c r="AK64" s="4"/>
      <c r="AL64" s="4"/>
      <c r="AM64" s="4"/>
      <c r="AN64" s="4"/>
      <c r="AO64" s="4"/>
      <c r="AP64" s="4"/>
      <c r="AQ64" s="4"/>
      <c r="AR64" s="22">
        <v>0</v>
      </c>
    </row>
    <row r="65" spans="1:44" s="22" customFormat="1" ht="17.25" hidden="1" customHeight="1">
      <c r="A65" s="108"/>
      <c r="D65" s="698"/>
      <c r="E65" s="698"/>
      <c r="F65" s="689"/>
      <c r="G65" s="698"/>
      <c r="H65" s="700"/>
      <c r="I65" s="682"/>
      <c r="J65" s="682"/>
      <c r="K65" s="665"/>
      <c r="L65" s="665"/>
      <c r="M65" s="665"/>
      <c r="N65" s="682"/>
      <c r="O65" s="665"/>
      <c r="P65" s="23"/>
      <c r="Q65" s="439"/>
      <c r="R65" s="439"/>
      <c r="W65" s="440"/>
      <c r="X65" s="4"/>
      <c r="Y65" s="4"/>
      <c r="Z65" s="4"/>
      <c r="AA65" s="4"/>
      <c r="AB65" s="4"/>
      <c r="AC65" s="4"/>
      <c r="AD65" s="4"/>
      <c r="AE65" s="4"/>
      <c r="AF65" s="4"/>
      <c r="AG65" s="4"/>
      <c r="AH65" s="4"/>
      <c r="AI65" s="4"/>
      <c r="AJ65" s="4"/>
      <c r="AK65" s="4"/>
      <c r="AL65" s="4"/>
      <c r="AM65" s="4"/>
      <c r="AN65" s="4"/>
      <c r="AO65" s="4"/>
      <c r="AP65" s="4"/>
      <c r="AQ65" s="4"/>
      <c r="AR65" s="22">
        <v>0</v>
      </c>
    </row>
    <row r="66" spans="1:44" s="22" customFormat="1" ht="17.25" hidden="1" customHeight="1">
      <c r="A66" s="108"/>
      <c r="C66" s="16"/>
      <c r="D66" s="698"/>
      <c r="E66" s="698"/>
      <c r="F66" s="689"/>
      <c r="G66" s="698"/>
      <c r="H66" s="700"/>
      <c r="I66" s="682"/>
      <c r="J66" s="682"/>
      <c r="K66" s="665"/>
      <c r="L66" s="439"/>
      <c r="M66" s="439"/>
      <c r="N66" s="439"/>
      <c r="O66" s="439"/>
      <c r="P66" s="439"/>
      <c r="Q66" s="439"/>
      <c r="R66" s="439"/>
      <c r="W66" s="440"/>
      <c r="Y66" s="4"/>
      <c r="Z66" s="4"/>
      <c r="AA66" s="4"/>
      <c r="AB66" s="4"/>
      <c r="AC66" s="4"/>
      <c r="AD66" s="4"/>
      <c r="AE66" s="4"/>
      <c r="AF66" s="4"/>
      <c r="AG66" s="4"/>
      <c r="AH66" s="4"/>
      <c r="AI66" s="4"/>
      <c r="AJ66" s="4"/>
      <c r="AK66" s="4"/>
      <c r="AL66" s="4"/>
      <c r="AM66" s="4"/>
      <c r="AN66" s="4"/>
      <c r="AO66" s="4"/>
      <c r="AP66" s="4"/>
      <c r="AQ66" s="4"/>
      <c r="AR66" s="22">
        <v>0</v>
      </c>
    </row>
    <row r="67" spans="1:44" s="22" customFormat="1" ht="17.25" hidden="1" customHeight="1">
      <c r="A67" s="108"/>
      <c r="D67" s="698"/>
      <c r="E67" s="698"/>
      <c r="F67" s="687"/>
      <c r="G67" s="698"/>
      <c r="H67" s="441"/>
      <c r="I67" s="442"/>
      <c r="J67" s="442"/>
      <c r="K67" s="442"/>
      <c r="L67" s="442"/>
      <c r="M67" s="442"/>
      <c r="N67" s="442"/>
      <c r="O67" s="442"/>
      <c r="P67" s="442"/>
      <c r="Q67" s="442"/>
      <c r="R67" s="442"/>
      <c r="S67" s="443"/>
      <c r="T67" s="443"/>
      <c r="U67" s="443"/>
      <c r="V67" s="443"/>
      <c r="W67" s="444"/>
      <c r="X67" s="4"/>
      <c r="Y67" s="4"/>
      <c r="Z67" s="4"/>
      <c r="AA67" s="4"/>
      <c r="AB67" s="4"/>
      <c r="AC67" s="4"/>
      <c r="AD67" s="4"/>
      <c r="AE67" s="4"/>
      <c r="AF67" s="4"/>
      <c r="AG67" s="4"/>
      <c r="AH67" s="4"/>
      <c r="AI67" s="4"/>
      <c r="AJ67" s="4"/>
      <c r="AK67" s="4"/>
      <c r="AL67" s="4"/>
      <c r="AM67" s="4"/>
      <c r="AN67" s="4"/>
      <c r="AO67" s="4"/>
      <c r="AP67" s="4"/>
      <c r="AQ67" s="4"/>
      <c r="AR67" s="22">
        <v>0</v>
      </c>
    </row>
    <row r="68" spans="1:44" ht="11.25" hidden="1" customHeight="1">
      <c r="AR68" s="22">
        <v>0</v>
      </c>
    </row>
    <row r="69" spans="1:44" ht="11.25" hidden="1" customHeight="1">
      <c r="E69" s="682" t="s">
        <v>219</v>
      </c>
      <c r="F69" s="682"/>
      <c r="G69" s="682"/>
      <c r="H69" s="682"/>
      <c r="I69" s="682"/>
      <c r="J69" s="682"/>
      <c r="K69" s="682"/>
      <c r="L69" s="682"/>
      <c r="M69" s="682"/>
      <c r="N69" s="682"/>
      <c r="O69" s="682"/>
      <c r="P69" s="682"/>
      <c r="Q69" s="682"/>
      <c r="R69" s="682"/>
      <c r="S69" s="682"/>
      <c r="T69" s="682"/>
      <c r="U69" s="682"/>
      <c r="V69" s="682"/>
      <c r="W69" s="682"/>
      <c r="AR69" s="22">
        <v>0</v>
      </c>
    </row>
    <row r="70" spans="1:44" ht="36.75" hidden="1" customHeight="1">
      <c r="E70" s="701" t="s">
        <v>220</v>
      </c>
      <c r="F70" s="701"/>
      <c r="G70" s="682"/>
      <c r="H70" s="682"/>
      <c r="I70" s="682"/>
      <c r="J70" s="682"/>
      <c r="K70" s="682"/>
      <c r="L70" s="682"/>
      <c r="M70" s="682"/>
      <c r="N70" s="682"/>
      <c r="O70" s="682"/>
      <c r="P70" s="682"/>
      <c r="Q70" s="682"/>
      <c r="R70" s="682"/>
      <c r="S70" s="682"/>
      <c r="T70" s="682"/>
      <c r="U70" s="682"/>
      <c r="V70" s="682"/>
      <c r="W70" s="682"/>
      <c r="AR70" s="22">
        <v>0</v>
      </c>
    </row>
    <row r="71" spans="1:44" ht="28.5" hidden="1" customHeight="1">
      <c r="E71" s="701" t="s">
        <v>221</v>
      </c>
      <c r="F71" s="701"/>
      <c r="G71" s="682"/>
      <c r="H71" s="682"/>
      <c r="I71" s="682"/>
      <c r="J71" s="682"/>
      <c r="K71" s="682"/>
      <c r="L71" s="682"/>
      <c r="M71" s="682"/>
      <c r="N71" s="682"/>
      <c r="O71" s="682"/>
      <c r="P71" s="682"/>
      <c r="Q71" s="682"/>
      <c r="R71" s="682"/>
      <c r="S71" s="682"/>
      <c r="T71" s="682"/>
      <c r="U71" s="682"/>
      <c r="V71" s="682"/>
      <c r="W71" s="682"/>
      <c r="AR71" s="22">
        <v>0</v>
      </c>
    </row>
    <row r="72" spans="1:44" ht="27" hidden="1" customHeight="1">
      <c r="E72" s="701" t="s">
        <v>222</v>
      </c>
      <c r="F72" s="701"/>
      <c r="G72" s="682"/>
      <c r="H72" s="682"/>
      <c r="I72" s="682"/>
      <c r="J72" s="682"/>
      <c r="K72" s="682"/>
      <c r="L72" s="682"/>
      <c r="M72" s="682"/>
      <c r="N72" s="682"/>
      <c r="O72" s="682"/>
      <c r="P72" s="682"/>
      <c r="Q72" s="682"/>
      <c r="R72" s="682"/>
      <c r="S72" s="682"/>
      <c r="T72" s="682"/>
      <c r="U72" s="682"/>
      <c r="V72" s="682"/>
      <c r="W72" s="682"/>
      <c r="AR72" s="22">
        <v>0</v>
      </c>
    </row>
    <row r="73" spans="1:44" ht="17.25" hidden="1" customHeight="1">
      <c r="E73" s="701" t="s">
        <v>223</v>
      </c>
      <c r="F73" s="701"/>
      <c r="G73" s="682"/>
      <c r="H73" s="682"/>
      <c r="I73" s="682"/>
      <c r="J73" s="682"/>
      <c r="K73" s="682"/>
      <c r="L73" s="682"/>
      <c r="M73" s="682"/>
      <c r="N73" s="682"/>
      <c r="O73" s="682"/>
      <c r="P73" s="682"/>
      <c r="Q73" s="682"/>
      <c r="R73" s="682"/>
      <c r="S73" s="682"/>
      <c r="T73" s="682"/>
      <c r="U73" s="682"/>
      <c r="V73" s="682"/>
      <c r="W73" s="682"/>
      <c r="AR73" s="22">
        <v>0</v>
      </c>
    </row>
    <row r="74" spans="1:44" ht="15" hidden="1" customHeight="1">
      <c r="AR74" s="22">
        <v>0</v>
      </c>
    </row>
    <row r="75" spans="1:44" ht="15" hidden="1" customHeight="1">
      <c r="E75" s="682" t="s">
        <v>224</v>
      </c>
      <c r="F75" s="682"/>
      <c r="G75" s="682"/>
      <c r="H75" s="682"/>
      <c r="I75" s="682"/>
      <c r="J75" s="682"/>
      <c r="K75" s="682"/>
      <c r="L75" s="682"/>
      <c r="M75" s="682"/>
      <c r="N75" s="682"/>
      <c r="O75" s="682"/>
      <c r="P75" s="682"/>
      <c r="Q75" s="682"/>
      <c r="R75" s="682"/>
      <c r="S75" s="682"/>
      <c r="T75" s="682"/>
      <c r="U75" s="682"/>
      <c r="V75" s="682"/>
      <c r="W75" s="682"/>
      <c r="AR75" s="22">
        <v>0</v>
      </c>
    </row>
    <row r="76" spans="1:44" ht="17.25" hidden="1" customHeight="1">
      <c r="E76" s="701" t="s">
        <v>225</v>
      </c>
      <c r="F76" s="701"/>
      <c r="G76" s="682"/>
      <c r="H76" s="682"/>
      <c r="I76" s="682"/>
      <c r="J76" s="682"/>
      <c r="K76" s="682"/>
      <c r="L76" s="682"/>
      <c r="M76" s="682"/>
      <c r="N76" s="682"/>
      <c r="O76" s="682"/>
      <c r="P76" s="682"/>
      <c r="Q76" s="682"/>
      <c r="R76" s="682"/>
      <c r="S76" s="682"/>
      <c r="T76" s="682"/>
      <c r="U76" s="682"/>
      <c r="V76" s="682"/>
      <c r="W76" s="682"/>
      <c r="AR76" s="22">
        <v>0</v>
      </c>
    </row>
    <row r="77" spans="1:44" ht="17.25" hidden="1" customHeight="1">
      <c r="E77" s="701" t="s">
        <v>226</v>
      </c>
      <c r="F77" s="701"/>
      <c r="G77" s="682"/>
      <c r="H77" s="682"/>
      <c r="I77" s="682"/>
      <c r="J77" s="682"/>
      <c r="K77" s="682"/>
      <c r="L77" s="682"/>
      <c r="M77" s="682"/>
      <c r="N77" s="682"/>
      <c r="O77" s="682"/>
      <c r="P77" s="682"/>
      <c r="Q77" s="682"/>
      <c r="R77" s="682"/>
      <c r="S77" s="682"/>
      <c r="T77" s="682"/>
      <c r="U77" s="682"/>
      <c r="V77" s="682"/>
      <c r="W77" s="682"/>
      <c r="AR77" s="22">
        <v>0</v>
      </c>
    </row>
    <row r="78" spans="1:44" s="22" customFormat="1" ht="11.25" hidden="1" customHeight="1">
      <c r="A78" s="46"/>
      <c r="B78" s="46"/>
      <c r="Y78" s="4"/>
      <c r="Z78" s="4"/>
      <c r="AA78" s="4"/>
      <c r="AB78" s="4"/>
      <c r="AC78" s="4"/>
      <c r="AD78" s="4"/>
      <c r="AE78" s="4"/>
      <c r="AF78" s="4"/>
      <c r="AG78" s="4"/>
      <c r="AH78" s="4"/>
      <c r="AI78" s="4"/>
      <c r="AJ78" s="4"/>
      <c r="AK78" s="4"/>
      <c r="AL78" s="4"/>
      <c r="AM78" s="4"/>
      <c r="AN78" s="4"/>
      <c r="AO78" s="4"/>
      <c r="AP78" s="4"/>
      <c r="AQ78" s="4"/>
      <c r="AR78" s="22">
        <v>0</v>
      </c>
    </row>
    <row r="79" spans="1:44" s="22" customFormat="1" ht="17.25" hidden="1" customHeight="1">
      <c r="A79" s="108"/>
      <c r="C79" s="16"/>
      <c r="D79" s="698">
        <v>1</v>
      </c>
      <c r="E79" s="679" t="s">
        <v>227</v>
      </c>
      <c r="F79" s="686" t="s">
        <v>19</v>
      </c>
      <c r="G79" s="679"/>
      <c r="H79" s="699"/>
      <c r="I79" s="696"/>
      <c r="J79" s="697"/>
      <c r="K79" s="697"/>
      <c r="L79" s="697"/>
      <c r="M79" s="697"/>
      <c r="N79" s="696"/>
      <c r="O79" s="697"/>
      <c r="P79" s="697"/>
      <c r="Q79" s="697"/>
      <c r="R79" s="696"/>
      <c r="S79" s="697"/>
      <c r="T79" s="470"/>
      <c r="U79" s="470"/>
      <c r="V79" s="469"/>
      <c r="W79" s="438"/>
      <c r="Y79" s="4"/>
      <c r="Z79" s="4"/>
      <c r="AA79" s="4"/>
      <c r="AB79" s="4"/>
      <c r="AC79" s="4" t="s">
        <v>228</v>
      </c>
      <c r="AD79" s="4" t="s">
        <v>229</v>
      </c>
      <c r="AE79" s="4" t="s">
        <v>230</v>
      </c>
      <c r="AF79" s="4" t="s">
        <v>231</v>
      </c>
      <c r="AG79" s="4"/>
      <c r="AH79" s="4" t="str">
        <f>IF($E$79=0,"",$E$79)</f>
        <v>Тариф на питьевую воду (питьевое водоснабжение)</v>
      </c>
      <c r="AI79" s="4" t="str">
        <f>IF($G$79=0,"",$G$79)</f>
        <v/>
      </c>
      <c r="AJ79" s="4" t="str">
        <f>IF($J$79=0,"",$J$79)</f>
        <v/>
      </c>
      <c r="AK79" s="4" t="str">
        <f>IF($K$79="нет","без дифференциации",IF($N$79=0,"",$N$79))</f>
        <v/>
      </c>
      <c r="AL79" s="4" t="str">
        <f>IF($O$79="нет","без дифференциации",IF($R$79=0,"",$R$79))</f>
        <v/>
      </c>
      <c r="AM79" s="4" t="str">
        <f>IF($S$79="нет","без дифференциации",IF($V$79=0,"",$V$79))</f>
        <v/>
      </c>
      <c r="AN79" s="4">
        <f>$I$79</f>
        <v>0</v>
      </c>
      <c r="AO79" s="4" t="str">
        <f>$I$79&amp;"."&amp;$M$79</f>
        <v>.</v>
      </c>
      <c r="AP79" s="4" t="str">
        <f>$I$79&amp;"."&amp;$M$79&amp;"."&amp;$Q$79</f>
        <v>..</v>
      </c>
      <c r="AQ79" s="4" t="str">
        <f>$I$79&amp;"."&amp;$M$79&amp;"."&amp;$Q$79&amp;"."&amp;$U$79</f>
        <v>...</v>
      </c>
      <c r="AR79" s="22">
        <v>0</v>
      </c>
    </row>
    <row r="80" spans="1:44" s="22" customFormat="1" ht="17.25" hidden="1" customHeight="1">
      <c r="A80" s="108"/>
      <c r="D80" s="698"/>
      <c r="E80" s="679"/>
      <c r="F80" s="689"/>
      <c r="G80" s="679"/>
      <c r="H80" s="700"/>
      <c r="I80" s="682"/>
      <c r="J80" s="665"/>
      <c r="K80" s="665"/>
      <c r="L80" s="665"/>
      <c r="M80" s="665"/>
      <c r="N80" s="682"/>
      <c r="O80" s="665"/>
      <c r="P80" s="665"/>
      <c r="Q80" s="665"/>
      <c r="R80" s="682"/>
      <c r="S80" s="665"/>
      <c r="T80" s="439"/>
      <c r="U80" s="439"/>
      <c r="V80" s="439"/>
      <c r="W80" s="440"/>
      <c r="Y80" s="4"/>
      <c r="Z80" s="4"/>
      <c r="AA80" s="4"/>
      <c r="AB80" s="4"/>
      <c r="AC80" s="4"/>
      <c r="AD80" s="4"/>
      <c r="AE80" s="4"/>
      <c r="AF80" s="4"/>
      <c r="AG80" s="4"/>
      <c r="AH80" s="4"/>
      <c r="AI80" s="4"/>
      <c r="AJ80" s="4"/>
      <c r="AK80" s="4"/>
      <c r="AL80" s="4"/>
      <c r="AM80" s="4"/>
      <c r="AN80" s="4"/>
      <c r="AO80" s="4"/>
      <c r="AP80" s="4"/>
      <c r="AQ80" s="4"/>
      <c r="AR80" s="22">
        <v>0</v>
      </c>
    </row>
    <row r="81" spans="1:44" s="22" customFormat="1" ht="17.25" hidden="1" customHeight="1">
      <c r="A81" s="108"/>
      <c r="C81" s="16"/>
      <c r="D81" s="698"/>
      <c r="E81" s="679"/>
      <c r="F81" s="689"/>
      <c r="G81" s="679"/>
      <c r="H81" s="700"/>
      <c r="I81" s="682"/>
      <c r="J81" s="682"/>
      <c r="K81" s="665"/>
      <c r="L81" s="665"/>
      <c r="M81" s="665"/>
      <c r="N81" s="682"/>
      <c r="O81" s="665"/>
      <c r="P81" s="23"/>
      <c r="Q81" s="439"/>
      <c r="R81" s="439"/>
      <c r="W81" s="440"/>
      <c r="Y81" s="4"/>
      <c r="Z81" s="4"/>
      <c r="AA81" s="4"/>
      <c r="AB81" s="4"/>
      <c r="AC81" s="4"/>
      <c r="AD81" s="4"/>
      <c r="AE81" s="4"/>
      <c r="AF81" s="4"/>
      <c r="AG81" s="4"/>
      <c r="AH81" s="4"/>
      <c r="AI81" s="4"/>
      <c r="AJ81" s="4"/>
      <c r="AK81" s="4"/>
      <c r="AL81" s="4"/>
      <c r="AM81" s="4"/>
      <c r="AN81" s="4"/>
      <c r="AO81" s="4"/>
      <c r="AP81" s="4"/>
      <c r="AQ81" s="4"/>
      <c r="AR81" s="22">
        <v>0</v>
      </c>
    </row>
    <row r="82" spans="1:44" s="22" customFormat="1" ht="17.25" hidden="1" customHeight="1">
      <c r="A82" s="108"/>
      <c r="D82" s="698"/>
      <c r="E82" s="679"/>
      <c r="F82" s="689"/>
      <c r="G82" s="679"/>
      <c r="H82" s="700"/>
      <c r="I82" s="682"/>
      <c r="J82" s="682"/>
      <c r="K82" s="665"/>
      <c r="L82" s="439"/>
      <c r="M82" s="439"/>
      <c r="N82" s="439"/>
      <c r="O82" s="439"/>
      <c r="P82" s="439"/>
      <c r="Q82" s="439"/>
      <c r="R82" s="439"/>
      <c r="W82" s="440"/>
      <c r="Y82" s="4"/>
      <c r="Z82" s="4"/>
      <c r="AA82" s="4"/>
      <c r="AB82" s="4"/>
      <c r="AC82" s="4"/>
      <c r="AD82" s="4"/>
      <c r="AE82" s="4"/>
      <c r="AF82" s="4"/>
      <c r="AG82" s="4"/>
      <c r="AH82" s="4"/>
      <c r="AI82" s="4"/>
      <c r="AJ82" s="4"/>
      <c r="AK82" s="4"/>
      <c r="AL82" s="4"/>
      <c r="AM82" s="4"/>
      <c r="AN82" s="4"/>
      <c r="AO82" s="4"/>
      <c r="AP82" s="4"/>
      <c r="AQ82" s="4"/>
      <c r="AR82" s="22">
        <v>0</v>
      </c>
    </row>
    <row r="83" spans="1:44" s="22" customFormat="1" ht="17.25" hidden="1" customHeight="1">
      <c r="A83" s="108"/>
      <c r="D83" s="698"/>
      <c r="E83" s="698"/>
      <c r="F83" s="687"/>
      <c r="G83" s="698"/>
      <c r="H83" s="441"/>
      <c r="I83" s="442"/>
      <c r="J83" s="442"/>
      <c r="K83" s="442"/>
      <c r="L83" s="442"/>
      <c r="M83" s="442"/>
      <c r="N83" s="442"/>
      <c r="O83" s="442"/>
      <c r="P83" s="442"/>
      <c r="Q83" s="442"/>
      <c r="R83" s="442"/>
      <c r="S83" s="443"/>
      <c r="T83" s="443"/>
      <c r="U83" s="443"/>
      <c r="V83" s="443"/>
      <c r="W83" s="444"/>
      <c r="Y83" s="4"/>
      <c r="Z83" s="4"/>
      <c r="AA83" s="4"/>
      <c r="AB83" s="4"/>
      <c r="AC83" s="4"/>
      <c r="AD83" s="4"/>
      <c r="AE83" s="4"/>
      <c r="AF83" s="4"/>
      <c r="AG83" s="4"/>
      <c r="AH83" s="4"/>
      <c r="AI83" s="4"/>
      <c r="AJ83" s="4"/>
      <c r="AK83" s="4"/>
      <c r="AL83" s="4"/>
      <c r="AM83" s="4"/>
      <c r="AN83" s="4"/>
      <c r="AO83" s="4"/>
      <c r="AP83" s="4"/>
      <c r="AQ83" s="4"/>
      <c r="AR83" s="22">
        <v>0</v>
      </c>
    </row>
    <row r="84" spans="1:44" s="22" customFormat="1" ht="17.25" hidden="1" customHeight="1">
      <c r="A84" s="108"/>
      <c r="C84" s="16"/>
      <c r="D84" s="698">
        <v>2</v>
      </c>
      <c r="E84" s="679" t="s">
        <v>232</v>
      </c>
      <c r="F84" s="686" t="s">
        <v>19</v>
      </c>
      <c r="G84" s="679"/>
      <c r="H84" s="699"/>
      <c r="I84" s="696"/>
      <c r="J84" s="697"/>
      <c r="K84" s="697"/>
      <c r="L84" s="697"/>
      <c r="M84" s="697"/>
      <c r="N84" s="696"/>
      <c r="O84" s="697"/>
      <c r="P84" s="697"/>
      <c r="Q84" s="697"/>
      <c r="R84" s="696"/>
      <c r="S84" s="697"/>
      <c r="T84" s="470"/>
      <c r="U84" s="470"/>
      <c r="V84" s="469"/>
      <c r="W84" s="438"/>
      <c r="X84" s="4"/>
      <c r="Y84" s="4"/>
      <c r="Z84" s="4"/>
      <c r="AA84" s="4"/>
      <c r="AB84" s="4"/>
      <c r="AC84" s="4" t="s">
        <v>233</v>
      </c>
      <c r="AD84" s="4" t="s">
        <v>234</v>
      </c>
      <c r="AE84" s="4" t="s">
        <v>235</v>
      </c>
      <c r="AF84" s="4" t="s">
        <v>236</v>
      </c>
      <c r="AG84" s="4"/>
      <c r="AH84" s="4" t="str">
        <f>IF($E$84=0,"",$E$84)</f>
        <v>Тариф на техническую воду</v>
      </c>
      <c r="AI84" s="4" t="str">
        <f>IF($G$84=0,"",$G$84)</f>
        <v/>
      </c>
      <c r="AJ84" s="4" t="str">
        <f>IF($J$84=0,"",$J$84)</f>
        <v/>
      </c>
      <c r="AK84" s="4" t="str">
        <f>IF($K$84="нет","без дифференциации",IF($N$84=0,"",$N$84))</f>
        <v/>
      </c>
      <c r="AL84" s="4" t="str">
        <f>IF($O$84="нет","без дифференциации",IF($R$84=0,"",$R$84))</f>
        <v/>
      </c>
      <c r="AM84" s="4" t="str">
        <f>IF($S$84="нет","без дифференциации",IF($V$84=0,"",$V$84))</f>
        <v/>
      </c>
      <c r="AN84" s="23">
        <f>$I$84</f>
        <v>0</v>
      </c>
      <c r="AO84" s="4" t="str">
        <f>$I$84&amp;"."&amp;$M$84</f>
        <v>.</v>
      </c>
      <c r="AP84" s="4" t="str">
        <f>$I$84&amp;"."&amp;$M$84&amp;"."&amp;$Q$84</f>
        <v>..</v>
      </c>
      <c r="AQ84" s="4" t="str">
        <f>$I$84&amp;"."&amp;$M$84&amp;"."&amp;$Q$84&amp;"."&amp;$U$84</f>
        <v>...</v>
      </c>
      <c r="AR84" s="22">
        <v>0</v>
      </c>
    </row>
    <row r="85" spans="1:44" s="22" customFormat="1" ht="17.25" hidden="1" customHeight="1">
      <c r="A85" s="108"/>
      <c r="D85" s="698"/>
      <c r="E85" s="679"/>
      <c r="F85" s="689"/>
      <c r="G85" s="679"/>
      <c r="H85" s="700"/>
      <c r="I85" s="682"/>
      <c r="J85" s="665"/>
      <c r="K85" s="665"/>
      <c r="L85" s="665"/>
      <c r="M85" s="665"/>
      <c r="N85" s="682"/>
      <c r="O85" s="665"/>
      <c r="P85" s="665"/>
      <c r="Q85" s="665"/>
      <c r="R85" s="682"/>
      <c r="S85" s="665"/>
      <c r="T85" s="439"/>
      <c r="U85" s="439"/>
      <c r="V85" s="439"/>
      <c r="W85" s="440"/>
      <c r="X85" s="4"/>
      <c r="Y85" s="4"/>
      <c r="Z85" s="4"/>
      <c r="AA85" s="4"/>
      <c r="AB85" s="4"/>
      <c r="AC85" s="4"/>
      <c r="AD85" s="4"/>
      <c r="AE85" s="4"/>
      <c r="AF85" s="4"/>
      <c r="AG85" s="4"/>
      <c r="AH85" s="4"/>
      <c r="AI85" s="4"/>
      <c r="AJ85" s="4"/>
      <c r="AK85" s="4"/>
      <c r="AL85" s="4"/>
      <c r="AM85" s="4"/>
      <c r="AN85" s="4"/>
      <c r="AO85" s="4"/>
      <c r="AP85" s="4"/>
      <c r="AQ85" s="4"/>
      <c r="AR85" s="22">
        <v>0</v>
      </c>
    </row>
    <row r="86" spans="1:44" s="22" customFormat="1" ht="17.25" hidden="1" customHeight="1">
      <c r="A86" s="108"/>
      <c r="D86" s="698"/>
      <c r="E86" s="698"/>
      <c r="F86" s="689"/>
      <c r="G86" s="698"/>
      <c r="H86" s="700"/>
      <c r="I86" s="682"/>
      <c r="J86" s="682"/>
      <c r="K86" s="665"/>
      <c r="L86" s="665"/>
      <c r="M86" s="665"/>
      <c r="N86" s="682"/>
      <c r="O86" s="665"/>
      <c r="P86" s="23"/>
      <c r="Q86" s="439"/>
      <c r="R86" s="439"/>
      <c r="W86" s="440"/>
      <c r="X86" s="4"/>
      <c r="Y86" s="4"/>
      <c r="Z86" s="4"/>
      <c r="AA86" s="4"/>
      <c r="AB86" s="4"/>
      <c r="AC86" s="4"/>
      <c r="AD86" s="4"/>
      <c r="AE86" s="4"/>
      <c r="AF86" s="4"/>
      <c r="AG86" s="4"/>
      <c r="AH86" s="4"/>
      <c r="AI86" s="4"/>
      <c r="AJ86" s="4"/>
      <c r="AK86" s="4"/>
      <c r="AL86" s="4"/>
      <c r="AM86" s="4"/>
      <c r="AN86" s="4"/>
      <c r="AO86" s="4"/>
      <c r="AP86" s="4"/>
      <c r="AQ86" s="4"/>
      <c r="AR86" s="22">
        <v>0</v>
      </c>
    </row>
    <row r="87" spans="1:44" s="22" customFormat="1" ht="17.25" hidden="1" customHeight="1">
      <c r="A87" s="108"/>
      <c r="D87" s="698"/>
      <c r="E87" s="698"/>
      <c r="F87" s="689"/>
      <c r="G87" s="698"/>
      <c r="H87" s="700"/>
      <c r="I87" s="682"/>
      <c r="J87" s="682"/>
      <c r="K87" s="665"/>
      <c r="L87" s="439"/>
      <c r="M87" s="439"/>
      <c r="N87" s="439"/>
      <c r="O87" s="439"/>
      <c r="P87" s="439"/>
      <c r="Q87" s="439"/>
      <c r="R87" s="439"/>
      <c r="W87" s="440"/>
      <c r="X87" s="4"/>
      <c r="Y87" s="4"/>
      <c r="Z87" s="4"/>
      <c r="AA87" s="4"/>
      <c r="AB87" s="4"/>
      <c r="AC87" s="4"/>
      <c r="AD87" s="4"/>
      <c r="AE87" s="4"/>
      <c r="AF87" s="4"/>
      <c r="AG87" s="4"/>
      <c r="AH87" s="4"/>
      <c r="AI87" s="4"/>
      <c r="AJ87" s="4"/>
      <c r="AK87" s="4"/>
      <c r="AL87" s="4"/>
      <c r="AM87" s="4"/>
      <c r="AN87" s="4"/>
      <c r="AO87" s="4"/>
      <c r="AP87" s="4"/>
      <c r="AQ87" s="4"/>
      <c r="AR87" s="22">
        <v>0</v>
      </c>
    </row>
    <row r="88" spans="1:44" s="22" customFormat="1" ht="17.25" hidden="1" customHeight="1">
      <c r="A88" s="108"/>
      <c r="D88" s="698"/>
      <c r="E88" s="698"/>
      <c r="F88" s="687"/>
      <c r="G88" s="698"/>
      <c r="H88" s="441"/>
      <c r="I88" s="442"/>
      <c r="J88" s="442"/>
      <c r="K88" s="442"/>
      <c r="L88" s="442"/>
      <c r="M88" s="442"/>
      <c r="N88" s="442"/>
      <c r="O88" s="442"/>
      <c r="P88" s="442"/>
      <c r="Q88" s="442"/>
      <c r="R88" s="442"/>
      <c r="S88" s="443"/>
      <c r="T88" s="443"/>
      <c r="U88" s="443"/>
      <c r="V88" s="443"/>
      <c r="W88" s="444"/>
      <c r="X88" s="4"/>
      <c r="Y88" s="4"/>
      <c r="Z88" s="4"/>
      <c r="AA88" s="4"/>
      <c r="AB88" s="4"/>
      <c r="AC88" s="4"/>
      <c r="AD88" s="4"/>
      <c r="AE88" s="4"/>
      <c r="AF88" s="4"/>
      <c r="AG88" s="4"/>
      <c r="AH88" s="4"/>
      <c r="AI88" s="4"/>
      <c r="AJ88" s="4"/>
      <c r="AK88" s="4"/>
      <c r="AL88" s="4"/>
      <c r="AM88" s="4"/>
      <c r="AN88" s="4"/>
      <c r="AO88" s="4"/>
      <c r="AP88" s="4"/>
      <c r="AQ88" s="4"/>
      <c r="AR88" s="22">
        <v>0</v>
      </c>
    </row>
    <row r="89" spans="1:44" s="22" customFormat="1" ht="17.25" hidden="1" customHeight="1">
      <c r="A89" s="108"/>
      <c r="C89" s="16"/>
      <c r="D89" s="698">
        <v>3</v>
      </c>
      <c r="E89" s="679" t="s">
        <v>237</v>
      </c>
      <c r="F89" s="686" t="s">
        <v>19</v>
      </c>
      <c r="G89" s="679"/>
      <c r="H89" s="699"/>
      <c r="I89" s="696"/>
      <c r="J89" s="697"/>
      <c r="K89" s="697"/>
      <c r="L89" s="697"/>
      <c r="M89" s="697"/>
      <c r="N89" s="696"/>
      <c r="O89" s="697"/>
      <c r="P89" s="697"/>
      <c r="Q89" s="697"/>
      <c r="R89" s="696"/>
      <c r="S89" s="697"/>
      <c r="T89" s="470"/>
      <c r="U89" s="470"/>
      <c r="V89" s="469"/>
      <c r="W89" s="438"/>
      <c r="X89" s="4"/>
      <c r="Y89" s="4"/>
      <c r="Z89" s="4"/>
      <c r="AA89" s="4"/>
      <c r="AB89" s="4"/>
      <c r="AC89" s="4" t="s">
        <v>238</v>
      </c>
      <c r="AD89" s="4" t="s">
        <v>239</v>
      </c>
      <c r="AE89" s="4" t="s">
        <v>240</v>
      </c>
      <c r="AF89" s="4" t="s">
        <v>241</v>
      </c>
      <c r="AG89" s="4"/>
      <c r="AH89" s="4" t="str">
        <f>IF($E$89=0,"",$E$89)</f>
        <v>Тариф на транспортировку воды</v>
      </c>
      <c r="AI89" s="4" t="str">
        <f>IF($G$89=0,"",$G$89)</f>
        <v/>
      </c>
      <c r="AJ89" s="4" t="str">
        <f>IF($J$89=0,"",$J$89)</f>
        <v/>
      </c>
      <c r="AK89" s="4" t="str">
        <f>IF($K$89="нет","без дифференциации",IF($N$89=0,"",$N$89))</f>
        <v/>
      </c>
      <c r="AL89" s="4" t="str">
        <f>IF($O$89="нет","без дифференциации",IF($R$89=0,"",$R$89))</f>
        <v/>
      </c>
      <c r="AM89" s="4" t="str">
        <f>IF($S$89="нет","без дифференциации",IF($V$89=0,"",$V$89))</f>
        <v/>
      </c>
      <c r="AN89" s="23">
        <f>$I$89</f>
        <v>0</v>
      </c>
      <c r="AO89" s="4" t="str">
        <f>$I$89&amp;"."&amp;$M$89</f>
        <v>.</v>
      </c>
      <c r="AP89" s="4" t="str">
        <f>$I$89&amp;"."&amp;$M$89&amp;"."&amp;$Q$89</f>
        <v>..</v>
      </c>
      <c r="AQ89" s="4" t="str">
        <f>$I$89&amp;"."&amp;$M$89&amp;"."&amp;$Q$89&amp;"."&amp;$U$89</f>
        <v>...</v>
      </c>
      <c r="AR89" s="22">
        <v>0</v>
      </c>
    </row>
    <row r="90" spans="1:44" s="22" customFormat="1" ht="17.25" hidden="1" customHeight="1">
      <c r="A90" s="108"/>
      <c r="D90" s="698"/>
      <c r="E90" s="679"/>
      <c r="F90" s="689"/>
      <c r="G90" s="679"/>
      <c r="H90" s="700"/>
      <c r="I90" s="682"/>
      <c r="J90" s="665"/>
      <c r="K90" s="665"/>
      <c r="L90" s="665"/>
      <c r="M90" s="665"/>
      <c r="N90" s="682"/>
      <c r="O90" s="665"/>
      <c r="P90" s="665"/>
      <c r="Q90" s="665"/>
      <c r="R90" s="682"/>
      <c r="S90" s="665"/>
      <c r="T90" s="439"/>
      <c r="U90" s="439"/>
      <c r="V90" s="439"/>
      <c r="W90" s="440"/>
      <c r="X90" s="4"/>
      <c r="Y90" s="4"/>
      <c r="Z90" s="4"/>
      <c r="AA90" s="4"/>
      <c r="AB90" s="4"/>
      <c r="AC90" s="4"/>
      <c r="AD90" s="4"/>
      <c r="AE90" s="4"/>
      <c r="AF90" s="4"/>
      <c r="AG90" s="4"/>
      <c r="AH90" s="4"/>
      <c r="AI90" s="4"/>
      <c r="AJ90" s="4"/>
      <c r="AK90" s="4"/>
      <c r="AL90" s="4"/>
      <c r="AM90" s="4"/>
      <c r="AN90" s="4"/>
      <c r="AO90" s="4"/>
      <c r="AP90" s="4"/>
      <c r="AQ90" s="4"/>
      <c r="AR90" s="22">
        <v>0</v>
      </c>
    </row>
    <row r="91" spans="1:44" s="22" customFormat="1" ht="17.25" hidden="1" customHeight="1">
      <c r="A91" s="108"/>
      <c r="D91" s="698"/>
      <c r="E91" s="698"/>
      <c r="F91" s="689"/>
      <c r="G91" s="698"/>
      <c r="H91" s="700"/>
      <c r="I91" s="682"/>
      <c r="J91" s="682"/>
      <c r="K91" s="665"/>
      <c r="L91" s="665"/>
      <c r="M91" s="665"/>
      <c r="N91" s="682"/>
      <c r="O91" s="665"/>
      <c r="P91" s="23"/>
      <c r="Q91" s="439"/>
      <c r="R91" s="439"/>
      <c r="W91" s="440"/>
      <c r="X91" s="4"/>
      <c r="Y91" s="4"/>
      <c r="Z91" s="4"/>
      <c r="AA91" s="4"/>
      <c r="AB91" s="4"/>
      <c r="AC91" s="4"/>
      <c r="AD91" s="4"/>
      <c r="AE91" s="4"/>
      <c r="AF91" s="4"/>
      <c r="AG91" s="4"/>
      <c r="AH91" s="4"/>
      <c r="AI91" s="4"/>
      <c r="AJ91" s="4"/>
      <c r="AK91" s="4"/>
      <c r="AL91" s="4"/>
      <c r="AM91" s="4"/>
      <c r="AN91" s="4"/>
      <c r="AO91" s="4"/>
      <c r="AP91" s="4"/>
      <c r="AQ91" s="4"/>
      <c r="AR91" s="22">
        <v>0</v>
      </c>
    </row>
    <row r="92" spans="1:44" s="22" customFormat="1" ht="17.25" hidden="1" customHeight="1">
      <c r="A92" s="108"/>
      <c r="D92" s="698"/>
      <c r="E92" s="698"/>
      <c r="F92" s="689"/>
      <c r="G92" s="698"/>
      <c r="H92" s="700"/>
      <c r="I92" s="682"/>
      <c r="J92" s="682"/>
      <c r="K92" s="665"/>
      <c r="L92" s="439"/>
      <c r="M92" s="439"/>
      <c r="N92" s="439"/>
      <c r="O92" s="439"/>
      <c r="P92" s="439"/>
      <c r="Q92" s="439"/>
      <c r="R92" s="439"/>
      <c r="W92" s="440"/>
      <c r="X92" s="4"/>
      <c r="Y92" s="4"/>
      <c r="Z92" s="4"/>
      <c r="AA92" s="4"/>
      <c r="AB92" s="4"/>
      <c r="AC92" s="4"/>
      <c r="AD92" s="4"/>
      <c r="AE92" s="4"/>
      <c r="AF92" s="4"/>
      <c r="AG92" s="4"/>
      <c r="AH92" s="4"/>
      <c r="AI92" s="4"/>
      <c r="AJ92" s="4"/>
      <c r="AK92" s="4"/>
      <c r="AL92" s="4"/>
      <c r="AM92" s="4"/>
      <c r="AN92" s="4"/>
      <c r="AO92" s="4"/>
      <c r="AP92" s="4"/>
      <c r="AQ92" s="4"/>
      <c r="AR92" s="22">
        <v>0</v>
      </c>
    </row>
    <row r="93" spans="1:44" s="22" customFormat="1" ht="17.25" hidden="1" customHeight="1">
      <c r="A93" s="108"/>
      <c r="D93" s="698"/>
      <c r="E93" s="698"/>
      <c r="F93" s="687"/>
      <c r="G93" s="698"/>
      <c r="H93" s="441"/>
      <c r="I93" s="442"/>
      <c r="J93" s="442"/>
      <c r="K93" s="442"/>
      <c r="L93" s="442"/>
      <c r="M93" s="442"/>
      <c r="N93" s="442"/>
      <c r="O93" s="442"/>
      <c r="P93" s="442"/>
      <c r="Q93" s="442"/>
      <c r="R93" s="442"/>
      <c r="S93" s="443"/>
      <c r="T93" s="443"/>
      <c r="U93" s="443"/>
      <c r="V93" s="443"/>
      <c r="W93" s="444"/>
      <c r="X93" s="4"/>
      <c r="Y93" s="4"/>
      <c r="Z93" s="4"/>
      <c r="AA93" s="4"/>
      <c r="AB93" s="4"/>
      <c r="AC93" s="4"/>
      <c r="AD93" s="4"/>
      <c r="AE93" s="4"/>
      <c r="AF93" s="4"/>
      <c r="AG93" s="4"/>
      <c r="AH93" s="4"/>
      <c r="AI93" s="4"/>
      <c r="AJ93" s="4"/>
      <c r="AK93" s="4"/>
      <c r="AL93" s="4"/>
      <c r="AM93" s="4"/>
      <c r="AN93" s="4"/>
      <c r="AO93" s="4"/>
      <c r="AP93" s="4"/>
      <c r="AQ93" s="4"/>
      <c r="AR93" s="22">
        <v>0</v>
      </c>
    </row>
    <row r="94" spans="1:44" s="22" customFormat="1" ht="17.25" hidden="1" customHeight="1">
      <c r="A94" s="108"/>
      <c r="C94" s="16"/>
      <c r="D94" s="698">
        <v>4</v>
      </c>
      <c r="E94" s="679" t="s">
        <v>242</v>
      </c>
      <c r="F94" s="686" t="s">
        <v>19</v>
      </c>
      <c r="G94" s="679"/>
      <c r="H94" s="699"/>
      <c r="I94" s="696"/>
      <c r="J94" s="697"/>
      <c r="K94" s="697"/>
      <c r="L94" s="697"/>
      <c r="M94" s="697"/>
      <c r="N94" s="696"/>
      <c r="O94" s="697"/>
      <c r="P94" s="697"/>
      <c r="Q94" s="697"/>
      <c r="R94" s="696"/>
      <c r="S94" s="697"/>
      <c r="T94" s="470"/>
      <c r="U94" s="470"/>
      <c r="V94" s="469"/>
      <c r="W94" s="438"/>
      <c r="X94" s="4"/>
      <c r="Y94" s="4"/>
      <c r="Z94" s="4"/>
      <c r="AA94" s="4"/>
      <c r="AB94" s="4"/>
      <c r="AC94" s="4" t="s">
        <v>243</v>
      </c>
      <c r="AD94" s="4" t="s">
        <v>244</v>
      </c>
      <c r="AE94" s="4" t="s">
        <v>245</v>
      </c>
      <c r="AF94" s="4" t="s">
        <v>246</v>
      </c>
      <c r="AG94" s="4"/>
      <c r="AH94" s="4" t="str">
        <f>IF($E$94=0,"",$E$94)</f>
        <v>Тариф на подвоз воды</v>
      </c>
      <c r="AI94" s="4" t="str">
        <f>IF($G$94=0,"",$G$94)</f>
        <v/>
      </c>
      <c r="AJ94" s="4" t="str">
        <f>IF($J$94=0,"",$J$94)</f>
        <v/>
      </c>
      <c r="AK94" s="4" t="str">
        <f>IF($K$94="нет","без дифференциации",IF($N$94=0,"",$N$94))</f>
        <v/>
      </c>
      <c r="AL94" s="4" t="str">
        <f>IF($O$94="нет","без дифференциации",IF($R$94=0,"",$R$94))</f>
        <v/>
      </c>
      <c r="AM94" s="4" t="str">
        <f>IF($S$94="нет","без дифференциации",IF($V$94=0,"",$V$94))</f>
        <v/>
      </c>
      <c r="AN94" s="23">
        <f>$I$94</f>
        <v>0</v>
      </c>
      <c r="AO94" s="4" t="str">
        <f>$I$94&amp;"."&amp;$M$94</f>
        <v>.</v>
      </c>
      <c r="AP94" s="4" t="str">
        <f>$I$94&amp;"."&amp;$M$94&amp;"."&amp;$Q$94</f>
        <v>..</v>
      </c>
      <c r="AQ94" s="4" t="str">
        <f>$I$94&amp;"."&amp;$M$94&amp;"."&amp;$Q$94&amp;"."&amp;$U$94</f>
        <v>...</v>
      </c>
      <c r="AR94" s="22">
        <v>0</v>
      </c>
    </row>
    <row r="95" spans="1:44" s="22" customFormat="1" ht="17.25" hidden="1" customHeight="1">
      <c r="A95" s="108"/>
      <c r="D95" s="698"/>
      <c r="E95" s="679"/>
      <c r="F95" s="689"/>
      <c r="G95" s="679"/>
      <c r="H95" s="700"/>
      <c r="I95" s="682"/>
      <c r="J95" s="665"/>
      <c r="K95" s="665"/>
      <c r="L95" s="665"/>
      <c r="M95" s="665"/>
      <c r="N95" s="682"/>
      <c r="O95" s="665"/>
      <c r="P95" s="665"/>
      <c r="Q95" s="665"/>
      <c r="R95" s="682"/>
      <c r="S95" s="665"/>
      <c r="T95" s="439"/>
      <c r="U95" s="439"/>
      <c r="V95" s="439"/>
      <c r="W95" s="440"/>
      <c r="X95" s="4"/>
      <c r="Y95" s="4"/>
      <c r="Z95" s="4"/>
      <c r="AA95" s="4"/>
      <c r="AB95" s="4"/>
      <c r="AC95" s="4"/>
      <c r="AD95" s="4"/>
      <c r="AE95" s="4"/>
      <c r="AF95" s="4"/>
      <c r="AG95" s="4"/>
      <c r="AH95" s="4"/>
      <c r="AI95" s="4"/>
      <c r="AJ95" s="4"/>
      <c r="AK95" s="4"/>
      <c r="AL95" s="4"/>
      <c r="AM95" s="4"/>
      <c r="AN95" s="4"/>
      <c r="AO95" s="4"/>
      <c r="AP95" s="4"/>
      <c r="AQ95" s="4"/>
      <c r="AR95" s="22">
        <v>0</v>
      </c>
    </row>
    <row r="96" spans="1:44" s="22" customFormat="1" ht="17.25" hidden="1" customHeight="1">
      <c r="A96" s="108"/>
      <c r="D96" s="698"/>
      <c r="E96" s="698"/>
      <c r="F96" s="689"/>
      <c r="G96" s="698"/>
      <c r="H96" s="700"/>
      <c r="I96" s="682"/>
      <c r="J96" s="682"/>
      <c r="K96" s="665"/>
      <c r="L96" s="665"/>
      <c r="M96" s="665"/>
      <c r="N96" s="682"/>
      <c r="O96" s="665"/>
      <c r="P96" s="23"/>
      <c r="Q96" s="439"/>
      <c r="R96" s="439"/>
      <c r="W96" s="440"/>
      <c r="X96" s="4"/>
      <c r="Y96" s="4"/>
      <c r="Z96" s="4"/>
      <c r="AA96" s="4"/>
      <c r="AB96" s="4"/>
      <c r="AC96" s="4"/>
      <c r="AD96" s="4"/>
      <c r="AE96" s="4"/>
      <c r="AF96" s="4"/>
      <c r="AG96" s="4"/>
      <c r="AH96" s="4"/>
      <c r="AI96" s="4"/>
      <c r="AJ96" s="4"/>
      <c r="AK96" s="4"/>
      <c r="AL96" s="4"/>
      <c r="AM96" s="4"/>
      <c r="AN96" s="4"/>
      <c r="AO96" s="4"/>
      <c r="AP96" s="4"/>
      <c r="AQ96" s="4"/>
      <c r="AR96" s="22">
        <v>0</v>
      </c>
    </row>
    <row r="97" spans="1:44" s="22" customFormat="1" ht="17.25" hidden="1" customHeight="1">
      <c r="A97" s="108"/>
      <c r="D97" s="698"/>
      <c r="E97" s="698"/>
      <c r="F97" s="689"/>
      <c r="G97" s="698"/>
      <c r="H97" s="700"/>
      <c r="I97" s="682"/>
      <c r="J97" s="682"/>
      <c r="K97" s="665"/>
      <c r="L97" s="439"/>
      <c r="M97" s="439"/>
      <c r="N97" s="439"/>
      <c r="O97" s="439"/>
      <c r="P97" s="439"/>
      <c r="Q97" s="439"/>
      <c r="R97" s="439"/>
      <c r="W97" s="440"/>
      <c r="X97" s="4"/>
      <c r="Y97" s="4"/>
      <c r="Z97" s="4"/>
      <c r="AA97" s="4"/>
      <c r="AB97" s="4"/>
      <c r="AC97" s="4"/>
      <c r="AD97" s="4"/>
      <c r="AE97" s="4"/>
      <c r="AF97" s="4"/>
      <c r="AG97" s="4"/>
      <c r="AH97" s="4"/>
      <c r="AI97" s="4"/>
      <c r="AJ97" s="4"/>
      <c r="AK97" s="4"/>
      <c r="AL97" s="4"/>
      <c r="AM97" s="4"/>
      <c r="AN97" s="4"/>
      <c r="AO97" s="4"/>
      <c r="AP97" s="4"/>
      <c r="AQ97" s="4"/>
      <c r="AR97" s="22">
        <v>0</v>
      </c>
    </row>
    <row r="98" spans="1:44" s="22" customFormat="1" ht="17.25" hidden="1" customHeight="1">
      <c r="A98" s="108"/>
      <c r="D98" s="698"/>
      <c r="E98" s="698"/>
      <c r="F98" s="687"/>
      <c r="G98" s="698"/>
      <c r="H98" s="441"/>
      <c r="I98" s="442"/>
      <c r="J98" s="442"/>
      <c r="K98" s="442"/>
      <c r="L98" s="442"/>
      <c r="M98" s="442"/>
      <c r="N98" s="442"/>
      <c r="O98" s="442"/>
      <c r="P98" s="442"/>
      <c r="Q98" s="442"/>
      <c r="R98" s="442"/>
      <c r="S98" s="443"/>
      <c r="T98" s="443"/>
      <c r="U98" s="443"/>
      <c r="V98" s="443"/>
      <c r="W98" s="444"/>
      <c r="X98" s="4"/>
      <c r="Y98" s="4"/>
      <c r="Z98" s="4"/>
      <c r="AA98" s="4"/>
      <c r="AB98" s="4"/>
      <c r="AC98" s="4"/>
      <c r="AD98" s="4"/>
      <c r="AE98" s="4"/>
      <c r="AF98" s="4"/>
      <c r="AG98" s="4"/>
      <c r="AH98" s="4"/>
      <c r="AI98" s="4"/>
      <c r="AJ98" s="4"/>
      <c r="AK98" s="4"/>
      <c r="AL98" s="4"/>
      <c r="AM98" s="4"/>
      <c r="AN98" s="4"/>
      <c r="AO98" s="4"/>
      <c r="AP98" s="4"/>
      <c r="AQ98" s="4"/>
      <c r="AR98" s="22">
        <v>0</v>
      </c>
    </row>
    <row r="99" spans="1:44" s="22" customFormat="1" ht="17.25" hidden="1" customHeight="1">
      <c r="A99" s="108"/>
      <c r="C99" s="16"/>
      <c r="D99" s="698">
        <v>5</v>
      </c>
      <c r="E99" s="679" t="s">
        <v>247</v>
      </c>
      <c r="F99" s="686" t="s">
        <v>19</v>
      </c>
      <c r="G99" s="679"/>
      <c r="H99" s="699"/>
      <c r="I99" s="696"/>
      <c r="J99" s="697"/>
      <c r="K99" s="697"/>
      <c r="L99" s="697"/>
      <c r="M99" s="697"/>
      <c r="N99" s="696"/>
      <c r="O99" s="697"/>
      <c r="P99" s="697"/>
      <c r="Q99" s="697"/>
      <c r="R99" s="696"/>
      <c r="S99" s="697"/>
      <c r="T99" s="470"/>
      <c r="U99" s="470"/>
      <c r="V99" s="469"/>
      <c r="W99" s="438"/>
      <c r="X99" s="4"/>
      <c r="Y99" s="4"/>
      <c r="Z99" s="4"/>
      <c r="AA99" s="4"/>
      <c r="AB99" s="4"/>
      <c r="AC99" s="4" t="s">
        <v>248</v>
      </c>
      <c r="AD99" s="4" t="s">
        <v>249</v>
      </c>
      <c r="AE99" s="4" t="s">
        <v>250</v>
      </c>
      <c r="AF99" s="4" t="s">
        <v>251</v>
      </c>
      <c r="AG99" s="4"/>
      <c r="AH99" s="4" t="str">
        <f>IF($E$99=0,"",$E$99)</f>
        <v>Тариф на подключение (технологическое присоединение) к централизованной системе холодного водоснабжения</v>
      </c>
      <c r="AI99" s="4" t="str">
        <f>IF($G$99=0,"",$G$99)</f>
        <v/>
      </c>
      <c r="AJ99" s="4" t="str">
        <f>IF($J$99=0,"",$J$99)</f>
        <v/>
      </c>
      <c r="AK99" s="4" t="str">
        <f>IF($K$99="нет","без дифференциации",IF($N$99=0,"",$N$99))</f>
        <v/>
      </c>
      <c r="AL99" s="4" t="str">
        <f>IF($O$99="нет","без дифференциации",IF($R$99=0,"",$R$99))</f>
        <v/>
      </c>
      <c r="AM99" s="4" t="str">
        <f>IF($S$99="нет","без дифференциации",IF($V$99=0,"",$V$99))</f>
        <v/>
      </c>
      <c r="AN99" s="23">
        <f>$I$99</f>
        <v>0</v>
      </c>
      <c r="AO99" s="4" t="str">
        <f>$I$99&amp;"."&amp;$M$99</f>
        <v>.</v>
      </c>
      <c r="AP99" s="4" t="str">
        <f>$I$99&amp;"."&amp;$M$99&amp;"."&amp;$Q$99</f>
        <v>..</v>
      </c>
      <c r="AQ99" s="4" t="str">
        <f>$I$99&amp;"."&amp;$M$99&amp;"."&amp;$Q$99&amp;"."&amp;$U$99</f>
        <v>...</v>
      </c>
      <c r="AR99" s="22">
        <v>0</v>
      </c>
    </row>
    <row r="100" spans="1:44" s="22" customFormat="1" ht="17.25" hidden="1" customHeight="1">
      <c r="A100" s="108"/>
      <c r="D100" s="698"/>
      <c r="E100" s="679"/>
      <c r="F100" s="689"/>
      <c r="G100" s="679"/>
      <c r="H100" s="700"/>
      <c r="I100" s="682"/>
      <c r="J100" s="665"/>
      <c r="K100" s="665"/>
      <c r="L100" s="665"/>
      <c r="M100" s="665"/>
      <c r="N100" s="682"/>
      <c r="O100" s="665"/>
      <c r="P100" s="665"/>
      <c r="Q100" s="665"/>
      <c r="R100" s="682"/>
      <c r="S100" s="665"/>
      <c r="T100" s="439"/>
      <c r="U100" s="439"/>
      <c r="V100" s="439"/>
      <c r="W100" s="440"/>
      <c r="X100" s="4"/>
      <c r="Y100" s="4"/>
      <c r="Z100" s="4"/>
      <c r="AA100" s="4"/>
      <c r="AB100" s="4"/>
      <c r="AC100" s="4"/>
      <c r="AD100" s="4"/>
      <c r="AE100" s="4"/>
      <c r="AF100" s="4"/>
      <c r="AG100" s="4"/>
      <c r="AH100" s="4"/>
      <c r="AI100" s="4"/>
      <c r="AJ100" s="4"/>
      <c r="AK100" s="4"/>
      <c r="AL100" s="4"/>
      <c r="AM100" s="4"/>
      <c r="AN100" s="4"/>
      <c r="AO100" s="4"/>
      <c r="AP100" s="4"/>
      <c r="AQ100" s="4"/>
      <c r="AR100" s="22">
        <v>0</v>
      </c>
    </row>
    <row r="101" spans="1:44" s="22" customFormat="1" ht="17.25" hidden="1" customHeight="1">
      <c r="A101" s="108"/>
      <c r="D101" s="698"/>
      <c r="E101" s="698"/>
      <c r="F101" s="689"/>
      <c r="G101" s="698"/>
      <c r="H101" s="700"/>
      <c r="I101" s="682"/>
      <c r="J101" s="682"/>
      <c r="K101" s="665"/>
      <c r="L101" s="665"/>
      <c r="M101" s="665"/>
      <c r="N101" s="682"/>
      <c r="O101" s="665"/>
      <c r="P101" s="23"/>
      <c r="Q101" s="439"/>
      <c r="R101" s="439"/>
      <c r="W101" s="440"/>
      <c r="X101" s="4"/>
      <c r="Y101" s="4"/>
      <c r="Z101" s="4"/>
      <c r="AA101" s="4"/>
      <c r="AB101" s="4"/>
      <c r="AC101" s="4"/>
      <c r="AD101" s="4"/>
      <c r="AE101" s="4"/>
      <c r="AF101" s="4"/>
      <c r="AG101" s="4"/>
      <c r="AH101" s="4"/>
      <c r="AI101" s="4"/>
      <c r="AJ101" s="4"/>
      <c r="AK101" s="4"/>
      <c r="AL101" s="4"/>
      <c r="AM101" s="4"/>
      <c r="AN101" s="4"/>
      <c r="AO101" s="4"/>
      <c r="AP101" s="4"/>
      <c r="AQ101" s="4"/>
      <c r="AR101" s="22">
        <v>0</v>
      </c>
    </row>
    <row r="102" spans="1:44" s="22" customFormat="1" ht="17.25" hidden="1" customHeight="1">
      <c r="A102" s="108"/>
      <c r="D102" s="698"/>
      <c r="E102" s="698"/>
      <c r="F102" s="689"/>
      <c r="G102" s="698"/>
      <c r="H102" s="700"/>
      <c r="I102" s="682"/>
      <c r="J102" s="682"/>
      <c r="K102" s="665"/>
      <c r="L102" s="439"/>
      <c r="M102" s="439"/>
      <c r="N102" s="439"/>
      <c r="O102" s="439"/>
      <c r="P102" s="439"/>
      <c r="Q102" s="439"/>
      <c r="R102" s="439"/>
      <c r="W102" s="440"/>
      <c r="X102" s="4"/>
      <c r="Y102" s="4"/>
      <c r="Z102" s="4"/>
      <c r="AA102" s="4"/>
      <c r="AB102" s="4"/>
      <c r="AC102" s="4"/>
      <c r="AD102" s="4"/>
      <c r="AE102" s="4"/>
      <c r="AF102" s="4"/>
      <c r="AG102" s="4"/>
      <c r="AH102" s="4"/>
      <c r="AI102" s="4"/>
      <c r="AJ102" s="4"/>
      <c r="AK102" s="4"/>
      <c r="AL102" s="4"/>
      <c r="AM102" s="4"/>
      <c r="AN102" s="4"/>
      <c r="AO102" s="4"/>
      <c r="AP102" s="4"/>
      <c r="AQ102" s="4"/>
      <c r="AR102" s="22">
        <v>0</v>
      </c>
    </row>
    <row r="103" spans="1:44" s="22" customFormat="1" ht="17.25" hidden="1" customHeight="1">
      <c r="A103" s="108"/>
      <c r="D103" s="698"/>
      <c r="E103" s="698"/>
      <c r="F103" s="687"/>
      <c r="G103" s="698"/>
      <c r="H103" s="441"/>
      <c r="I103" s="442"/>
      <c r="J103" s="442"/>
      <c r="K103" s="442"/>
      <c r="L103" s="442"/>
      <c r="M103" s="442"/>
      <c r="N103" s="442"/>
      <c r="O103" s="442"/>
      <c r="P103" s="442"/>
      <c r="Q103" s="442"/>
      <c r="R103" s="442"/>
      <c r="S103" s="443"/>
      <c r="T103" s="443"/>
      <c r="U103" s="443"/>
      <c r="V103" s="443"/>
      <c r="W103" s="444"/>
      <c r="X103" s="4"/>
      <c r="Y103" s="4"/>
      <c r="Z103" s="4"/>
      <c r="AA103" s="4"/>
      <c r="AB103" s="4"/>
      <c r="AC103" s="4"/>
      <c r="AD103" s="4"/>
      <c r="AE103" s="4"/>
      <c r="AF103" s="4"/>
      <c r="AG103" s="4"/>
      <c r="AH103" s="4"/>
      <c r="AI103" s="4"/>
      <c r="AJ103" s="4"/>
      <c r="AK103" s="4"/>
      <c r="AL103" s="4"/>
      <c r="AM103" s="4"/>
      <c r="AN103" s="4"/>
      <c r="AO103" s="4"/>
      <c r="AP103" s="4"/>
      <c r="AQ103" s="4"/>
      <c r="AR103" s="22">
        <v>0</v>
      </c>
    </row>
    <row r="104" spans="1:44" s="22" customFormat="1" ht="11.25" hidden="1" customHeight="1">
      <c r="A104" s="46"/>
      <c r="B104" s="46"/>
      <c r="Y104" s="4"/>
      <c r="Z104" s="4"/>
      <c r="AA104" s="4"/>
      <c r="AB104" s="4"/>
      <c r="AC104" s="4"/>
      <c r="AD104" s="4"/>
      <c r="AE104" s="4"/>
      <c r="AF104" s="4"/>
      <c r="AG104" s="4"/>
      <c r="AH104" s="4"/>
      <c r="AI104" s="4"/>
      <c r="AJ104" s="4"/>
      <c r="AK104" s="4"/>
      <c r="AL104" s="4"/>
      <c r="AM104" s="4"/>
      <c r="AN104" s="4"/>
      <c r="AO104" s="4"/>
      <c r="AP104" s="4"/>
      <c r="AQ104" s="4"/>
      <c r="AR104" s="22">
        <v>0</v>
      </c>
    </row>
    <row r="105" spans="1:44" s="22" customFormat="1" ht="17.25" hidden="1" customHeight="1">
      <c r="A105" s="108"/>
      <c r="C105" s="16"/>
      <c r="D105" s="698">
        <v>1</v>
      </c>
      <c r="E105" s="679" t="s">
        <v>252</v>
      </c>
      <c r="F105" s="686" t="s">
        <v>19</v>
      </c>
      <c r="G105" s="679"/>
      <c r="H105" s="699"/>
      <c r="I105" s="696"/>
      <c r="J105" s="697"/>
      <c r="K105" s="697"/>
      <c r="L105" s="697"/>
      <c r="M105" s="697"/>
      <c r="N105" s="696"/>
      <c r="O105" s="697"/>
      <c r="P105" s="697"/>
      <c r="Q105" s="697"/>
      <c r="R105" s="696"/>
      <c r="S105" s="697"/>
      <c r="T105" s="470"/>
      <c r="U105" s="470"/>
      <c r="V105" s="469"/>
      <c r="W105" s="438"/>
      <c r="Y105" s="4"/>
      <c r="Z105" s="4"/>
      <c r="AA105" s="4"/>
      <c r="AB105" s="4"/>
      <c r="AC105" s="4" t="s">
        <v>253</v>
      </c>
      <c r="AD105" s="4" t="s">
        <v>254</v>
      </c>
      <c r="AE105" s="4" t="s">
        <v>255</v>
      </c>
      <c r="AF105" s="4" t="s">
        <v>256</v>
      </c>
      <c r="AG105" s="4"/>
      <c r="AH105" s="4" t="str">
        <f>IF($E$105=0,"",$E$105)</f>
        <v>Тариф на горячую воду (горячее водоснабжение)</v>
      </c>
      <c r="AI105" s="4" t="str">
        <f>IF($G$105=0,"",$G$105)</f>
        <v/>
      </c>
      <c r="AJ105" s="4" t="str">
        <f>IF($J$105=0,"",$J$105)</f>
        <v/>
      </c>
      <c r="AK105" s="4" t="str">
        <f>IF($K$105="нет","без дифференциации",IF($N$105=0,"",$N$105))</f>
        <v/>
      </c>
      <c r="AL105" s="4" t="str">
        <f>IF($O$105="нет","без дифференциации",IF($R$105=0,"",$R$105))</f>
        <v/>
      </c>
      <c r="AM105" s="4" t="str">
        <f>IF($S$105="нет","без дифференциации",IF($V$105=0,"",$V$105))</f>
        <v/>
      </c>
      <c r="AN105" s="4">
        <f>$I$105</f>
        <v>0</v>
      </c>
      <c r="AO105" s="4" t="str">
        <f>$I$105&amp;"."&amp;$M$105</f>
        <v>.</v>
      </c>
      <c r="AP105" s="4" t="str">
        <f>$I$105&amp;"."&amp;$M$105&amp;"."&amp;$Q$105</f>
        <v>..</v>
      </c>
      <c r="AQ105" s="4" t="str">
        <f>$I$105&amp;"."&amp;$M$105&amp;"."&amp;$Q$105&amp;"."&amp;$U$105</f>
        <v>...</v>
      </c>
      <c r="AR105" s="22">
        <v>0</v>
      </c>
    </row>
    <row r="106" spans="1:44" s="22" customFormat="1" ht="17.25" hidden="1" customHeight="1">
      <c r="A106" s="108"/>
      <c r="D106" s="698"/>
      <c r="E106" s="679"/>
      <c r="F106" s="689"/>
      <c r="G106" s="679"/>
      <c r="H106" s="700"/>
      <c r="I106" s="682"/>
      <c r="J106" s="665"/>
      <c r="K106" s="665"/>
      <c r="L106" s="665"/>
      <c r="M106" s="665"/>
      <c r="N106" s="682"/>
      <c r="O106" s="665"/>
      <c r="P106" s="665"/>
      <c r="Q106" s="665"/>
      <c r="R106" s="682"/>
      <c r="S106" s="665"/>
      <c r="T106" s="439"/>
      <c r="U106" s="439"/>
      <c r="V106" s="439"/>
      <c r="W106" s="440"/>
      <c r="Y106" s="4"/>
      <c r="Z106" s="4"/>
      <c r="AA106" s="4"/>
      <c r="AB106" s="4"/>
      <c r="AC106" s="4"/>
      <c r="AD106" s="4"/>
      <c r="AE106" s="4"/>
      <c r="AF106" s="4"/>
      <c r="AG106" s="4"/>
      <c r="AH106" s="4"/>
      <c r="AI106" s="4"/>
      <c r="AJ106" s="4"/>
      <c r="AK106" s="4"/>
      <c r="AL106" s="4"/>
      <c r="AM106" s="4"/>
      <c r="AN106" s="4"/>
      <c r="AO106" s="4"/>
      <c r="AP106" s="4"/>
      <c r="AQ106" s="4"/>
      <c r="AR106" s="22">
        <v>0</v>
      </c>
    </row>
    <row r="107" spans="1:44" s="22" customFormat="1" ht="17.25" hidden="1" customHeight="1">
      <c r="A107" s="108"/>
      <c r="C107" s="16"/>
      <c r="D107" s="698"/>
      <c r="E107" s="679"/>
      <c r="F107" s="689"/>
      <c r="G107" s="679"/>
      <c r="H107" s="700"/>
      <c r="I107" s="682"/>
      <c r="J107" s="682"/>
      <c r="K107" s="665"/>
      <c r="L107" s="665"/>
      <c r="M107" s="665"/>
      <c r="N107" s="682"/>
      <c r="O107" s="665"/>
      <c r="P107" s="23"/>
      <c r="Q107" s="439"/>
      <c r="R107" s="439"/>
      <c r="W107" s="440"/>
      <c r="Y107" s="4"/>
      <c r="Z107" s="4"/>
      <c r="AA107" s="4"/>
      <c r="AB107" s="4"/>
      <c r="AC107" s="4"/>
      <c r="AD107" s="4"/>
      <c r="AE107" s="4"/>
      <c r="AF107" s="4"/>
      <c r="AG107" s="4"/>
      <c r="AH107" s="4"/>
      <c r="AI107" s="4"/>
      <c r="AJ107" s="4"/>
      <c r="AK107" s="4"/>
      <c r="AL107" s="4"/>
      <c r="AM107" s="4"/>
      <c r="AN107" s="4"/>
      <c r="AO107" s="4"/>
      <c r="AP107" s="4"/>
      <c r="AQ107" s="4"/>
      <c r="AR107" s="22">
        <v>0</v>
      </c>
    </row>
    <row r="108" spans="1:44" s="22" customFormat="1" ht="17.25" hidden="1" customHeight="1">
      <c r="A108" s="108"/>
      <c r="D108" s="698"/>
      <c r="E108" s="679"/>
      <c r="F108" s="689"/>
      <c r="G108" s="679"/>
      <c r="H108" s="700"/>
      <c r="I108" s="682"/>
      <c r="J108" s="682"/>
      <c r="K108" s="665"/>
      <c r="L108" s="439"/>
      <c r="M108" s="439"/>
      <c r="N108" s="439"/>
      <c r="O108" s="439"/>
      <c r="P108" s="439"/>
      <c r="Q108" s="439"/>
      <c r="R108" s="439"/>
      <c r="W108" s="440"/>
      <c r="Y108" s="4"/>
      <c r="Z108" s="4"/>
      <c r="AA108" s="4"/>
      <c r="AB108" s="4"/>
      <c r="AC108" s="4"/>
      <c r="AD108" s="4"/>
      <c r="AE108" s="4"/>
      <c r="AF108" s="4"/>
      <c r="AG108" s="4"/>
      <c r="AH108" s="4"/>
      <c r="AI108" s="4"/>
      <c r="AJ108" s="4"/>
      <c r="AK108" s="4"/>
      <c r="AL108" s="4"/>
      <c r="AM108" s="4"/>
      <c r="AN108" s="4"/>
      <c r="AO108" s="4"/>
      <c r="AP108" s="4"/>
      <c r="AQ108" s="4"/>
      <c r="AR108" s="22">
        <v>0</v>
      </c>
    </row>
    <row r="109" spans="1:44" s="22" customFormat="1" ht="17.25" hidden="1" customHeight="1">
      <c r="A109" s="108"/>
      <c r="D109" s="698"/>
      <c r="E109" s="698"/>
      <c r="F109" s="687"/>
      <c r="G109" s="698"/>
      <c r="H109" s="441"/>
      <c r="I109" s="442"/>
      <c r="J109" s="442"/>
      <c r="K109" s="442"/>
      <c r="L109" s="442"/>
      <c r="M109" s="442"/>
      <c r="N109" s="442"/>
      <c r="O109" s="442"/>
      <c r="P109" s="442"/>
      <c r="Q109" s="442"/>
      <c r="R109" s="442"/>
      <c r="S109" s="443"/>
      <c r="T109" s="443"/>
      <c r="U109" s="443"/>
      <c r="V109" s="443"/>
      <c r="W109" s="444"/>
      <c r="Y109" s="4"/>
      <c r="Z109" s="4"/>
      <c r="AA109" s="4"/>
      <c r="AB109" s="4"/>
      <c r="AC109" s="4"/>
      <c r="AD109" s="4"/>
      <c r="AE109" s="4"/>
      <c r="AF109" s="4"/>
      <c r="AG109" s="4"/>
      <c r="AH109" s="4"/>
      <c r="AI109" s="4"/>
      <c r="AJ109" s="4"/>
      <c r="AK109" s="4"/>
      <c r="AL109" s="4"/>
      <c r="AM109" s="4"/>
      <c r="AN109" s="4"/>
      <c r="AO109" s="4"/>
      <c r="AP109" s="4"/>
      <c r="AQ109" s="4"/>
      <c r="AR109" s="22">
        <v>0</v>
      </c>
    </row>
    <row r="110" spans="1:44" s="22" customFormat="1" ht="17.25" hidden="1" customHeight="1">
      <c r="A110" s="108"/>
      <c r="C110" s="16"/>
      <c r="D110" s="698">
        <v>2</v>
      </c>
      <c r="E110" s="679" t="s">
        <v>257</v>
      </c>
      <c r="F110" s="686" t="s">
        <v>19</v>
      </c>
      <c r="G110" s="679"/>
      <c r="H110" s="699"/>
      <c r="I110" s="696"/>
      <c r="J110" s="697"/>
      <c r="K110" s="697"/>
      <c r="L110" s="697"/>
      <c r="M110" s="697"/>
      <c r="N110" s="696"/>
      <c r="O110" s="697"/>
      <c r="P110" s="697"/>
      <c r="Q110" s="697"/>
      <c r="R110" s="696"/>
      <c r="S110" s="697"/>
      <c r="T110" s="470"/>
      <c r="U110" s="470"/>
      <c r="V110" s="469"/>
      <c r="W110" s="438"/>
      <c r="X110" s="4"/>
      <c r="Y110" s="4"/>
      <c r="Z110" s="4"/>
      <c r="AA110" s="4"/>
      <c r="AB110" s="4"/>
      <c r="AC110" s="4" t="s">
        <v>258</v>
      </c>
      <c r="AD110" s="4" t="s">
        <v>259</v>
      </c>
      <c r="AE110" s="4" t="s">
        <v>260</v>
      </c>
      <c r="AF110" s="4" t="s">
        <v>261</v>
      </c>
      <c r="AG110" s="4"/>
      <c r="AH110" s="4" t="str">
        <f>IF($E$110=0,"",$E$110)</f>
        <v>Тариф на транспортировку горячей воды</v>
      </c>
      <c r="AI110" s="4" t="str">
        <f>IF($G$110=0,"",$G$110)</f>
        <v/>
      </c>
      <c r="AJ110" s="4" t="str">
        <f>IF($J$110=0,"",$J$110)</f>
        <v/>
      </c>
      <c r="AK110" s="4" t="str">
        <f>IF($K$110="нет","без дифференциации",IF($N$110=0,"",$N$110))</f>
        <v/>
      </c>
      <c r="AL110" s="4" t="str">
        <f>IF($O$110="нет","без дифференциации",IF($R$110=0,"",$R$110))</f>
        <v/>
      </c>
      <c r="AM110" s="4" t="str">
        <f>IF($S$110="нет","без дифференциации",IF($V$110=0,"",$V$110))</f>
        <v/>
      </c>
      <c r="AN110" s="23">
        <f>$I$110</f>
        <v>0</v>
      </c>
      <c r="AO110" s="4" t="str">
        <f>$I$110&amp;"."&amp;$M$110</f>
        <v>.</v>
      </c>
      <c r="AP110" s="4" t="str">
        <f>$I$110&amp;"."&amp;$M$110&amp;"."&amp;$Q$110</f>
        <v>..</v>
      </c>
      <c r="AQ110" s="4" t="str">
        <f>$I$110&amp;"."&amp;$M$110&amp;"."&amp;$Q$110&amp;"."&amp;$U$110</f>
        <v>...</v>
      </c>
      <c r="AR110" s="22">
        <v>0</v>
      </c>
    </row>
    <row r="111" spans="1:44" s="22" customFormat="1" ht="17.25" hidden="1" customHeight="1">
      <c r="A111" s="108"/>
      <c r="D111" s="698"/>
      <c r="E111" s="679"/>
      <c r="F111" s="689"/>
      <c r="G111" s="679"/>
      <c r="H111" s="700"/>
      <c r="I111" s="682"/>
      <c r="J111" s="665"/>
      <c r="K111" s="665"/>
      <c r="L111" s="665"/>
      <c r="M111" s="665"/>
      <c r="N111" s="682"/>
      <c r="O111" s="665"/>
      <c r="P111" s="665"/>
      <c r="Q111" s="665"/>
      <c r="R111" s="682"/>
      <c r="S111" s="665"/>
      <c r="T111" s="439"/>
      <c r="U111" s="439"/>
      <c r="V111" s="439"/>
      <c r="W111" s="440"/>
      <c r="X111" s="4"/>
      <c r="Y111" s="4"/>
      <c r="Z111" s="4"/>
      <c r="AA111" s="4"/>
      <c r="AB111" s="4"/>
      <c r="AC111" s="4"/>
      <c r="AD111" s="4"/>
      <c r="AE111" s="4"/>
      <c r="AF111" s="4"/>
      <c r="AG111" s="4"/>
      <c r="AH111" s="4"/>
      <c r="AI111" s="4"/>
      <c r="AJ111" s="4"/>
      <c r="AK111" s="4"/>
      <c r="AL111" s="4"/>
      <c r="AM111" s="4"/>
      <c r="AN111" s="4"/>
      <c r="AO111" s="4"/>
      <c r="AP111" s="4"/>
      <c r="AQ111" s="4"/>
      <c r="AR111" s="22">
        <v>0</v>
      </c>
    </row>
    <row r="112" spans="1:44" s="22" customFormat="1" ht="17.25" hidden="1" customHeight="1">
      <c r="A112" s="108"/>
      <c r="D112" s="698"/>
      <c r="E112" s="698"/>
      <c r="F112" s="689"/>
      <c r="G112" s="698"/>
      <c r="H112" s="700"/>
      <c r="I112" s="682"/>
      <c r="J112" s="682"/>
      <c r="K112" s="665"/>
      <c r="L112" s="665"/>
      <c r="M112" s="665"/>
      <c r="N112" s="682"/>
      <c r="O112" s="665"/>
      <c r="P112" s="23"/>
      <c r="Q112" s="439"/>
      <c r="R112" s="439"/>
      <c r="W112" s="440"/>
      <c r="X112" s="4"/>
      <c r="Y112" s="4"/>
      <c r="Z112" s="4"/>
      <c r="AA112" s="4"/>
      <c r="AB112" s="4"/>
      <c r="AC112" s="4"/>
      <c r="AD112" s="4"/>
      <c r="AE112" s="4"/>
      <c r="AF112" s="4"/>
      <c r="AG112" s="4"/>
      <c r="AH112" s="4"/>
      <c r="AI112" s="4"/>
      <c r="AJ112" s="4"/>
      <c r="AK112" s="4"/>
      <c r="AL112" s="4"/>
      <c r="AM112" s="4"/>
      <c r="AN112" s="4"/>
      <c r="AO112" s="4"/>
      <c r="AP112" s="4"/>
      <c r="AQ112" s="4"/>
      <c r="AR112" s="22">
        <v>0</v>
      </c>
    </row>
    <row r="113" spans="1:44" s="22" customFormat="1" ht="17.25" hidden="1" customHeight="1">
      <c r="A113" s="108"/>
      <c r="D113" s="698"/>
      <c r="E113" s="698"/>
      <c r="F113" s="689"/>
      <c r="G113" s="698"/>
      <c r="H113" s="700"/>
      <c r="I113" s="682"/>
      <c r="J113" s="682"/>
      <c r="K113" s="665"/>
      <c r="L113" s="439"/>
      <c r="M113" s="439"/>
      <c r="N113" s="439"/>
      <c r="O113" s="439"/>
      <c r="P113" s="439"/>
      <c r="Q113" s="439"/>
      <c r="R113" s="439"/>
      <c r="W113" s="440"/>
      <c r="X113" s="4"/>
      <c r="Y113" s="4"/>
      <c r="Z113" s="4"/>
      <c r="AA113" s="4"/>
      <c r="AB113" s="4"/>
      <c r="AC113" s="4"/>
      <c r="AD113" s="4"/>
      <c r="AE113" s="4"/>
      <c r="AF113" s="4"/>
      <c r="AG113" s="4"/>
      <c r="AH113" s="4"/>
      <c r="AI113" s="4"/>
      <c r="AJ113" s="4"/>
      <c r="AK113" s="4"/>
      <c r="AL113" s="4"/>
      <c r="AM113" s="4"/>
      <c r="AN113" s="4"/>
      <c r="AO113" s="4"/>
      <c r="AP113" s="4"/>
      <c r="AQ113" s="4"/>
      <c r="AR113" s="22">
        <v>0</v>
      </c>
    </row>
    <row r="114" spans="1:44" s="22" customFormat="1" ht="17.25" hidden="1" customHeight="1">
      <c r="A114" s="108"/>
      <c r="D114" s="698"/>
      <c r="E114" s="698"/>
      <c r="F114" s="687"/>
      <c r="G114" s="698"/>
      <c r="H114" s="441"/>
      <c r="I114" s="442"/>
      <c r="J114" s="442"/>
      <c r="K114" s="442"/>
      <c r="L114" s="442"/>
      <c r="M114" s="442"/>
      <c r="N114" s="442"/>
      <c r="O114" s="442"/>
      <c r="P114" s="442"/>
      <c r="Q114" s="442"/>
      <c r="R114" s="442"/>
      <c r="S114" s="443"/>
      <c r="T114" s="443"/>
      <c r="U114" s="443"/>
      <c r="V114" s="443"/>
      <c r="W114" s="444"/>
      <c r="X114" s="4"/>
      <c r="Y114" s="4"/>
      <c r="Z114" s="4"/>
      <c r="AA114" s="4"/>
      <c r="AB114" s="4"/>
      <c r="AC114" s="4"/>
      <c r="AD114" s="4"/>
      <c r="AE114" s="4"/>
      <c r="AF114" s="4"/>
      <c r="AG114" s="4"/>
      <c r="AH114" s="4"/>
      <c r="AI114" s="4"/>
      <c r="AJ114" s="4"/>
      <c r="AK114" s="4"/>
      <c r="AL114" s="4"/>
      <c r="AM114" s="4"/>
      <c r="AN114" s="4"/>
      <c r="AO114" s="4"/>
      <c r="AP114" s="4"/>
      <c r="AQ114" s="4"/>
      <c r="AR114" s="22">
        <v>0</v>
      </c>
    </row>
    <row r="115" spans="1:44" s="22" customFormat="1" ht="17.25" hidden="1" customHeight="1">
      <c r="A115" s="108"/>
      <c r="C115" s="16"/>
      <c r="D115" s="698">
        <v>3</v>
      </c>
      <c r="E115" s="679" t="s">
        <v>262</v>
      </c>
      <c r="F115" s="686" t="s">
        <v>19</v>
      </c>
      <c r="G115" s="679"/>
      <c r="H115" s="699"/>
      <c r="I115" s="696"/>
      <c r="J115" s="697"/>
      <c r="K115" s="697"/>
      <c r="L115" s="697"/>
      <c r="M115" s="697"/>
      <c r="N115" s="696"/>
      <c r="O115" s="697"/>
      <c r="P115" s="697"/>
      <c r="Q115" s="697"/>
      <c r="R115" s="696"/>
      <c r="S115" s="697"/>
      <c r="T115" s="470"/>
      <c r="U115" s="470"/>
      <c r="V115" s="469"/>
      <c r="W115" s="438"/>
      <c r="X115" s="4"/>
      <c r="Y115" s="4"/>
      <c r="Z115" s="4"/>
      <c r="AA115" s="4"/>
      <c r="AB115" s="4"/>
      <c r="AC115" s="4" t="s">
        <v>263</v>
      </c>
      <c r="AD115" s="4" t="s">
        <v>264</v>
      </c>
      <c r="AE115" s="4" t="s">
        <v>265</v>
      </c>
      <c r="AF115" s="4" t="s">
        <v>266</v>
      </c>
      <c r="AG115" s="4"/>
      <c r="AH115" s="4" t="str">
        <f>IF($E$115=0,"",$E$115)</f>
        <v>Тариф на подключение (технологическое присоединение) к централизованной системе горячего водоснабжения</v>
      </c>
      <c r="AI115" s="4" t="str">
        <f>IF($G$115=0,"",$G$115)</f>
        <v/>
      </c>
      <c r="AJ115" s="4" t="str">
        <f>IF($J$115=0,"",$J$115)</f>
        <v/>
      </c>
      <c r="AK115" s="4" t="str">
        <f>IF($K$115="нет","без дифференциации",IF($N$115=0,"",$N$115))</f>
        <v/>
      </c>
      <c r="AL115" s="4" t="str">
        <f>IF($O$115="нет","без дифференциации",IF($R$115=0,"",$R$115))</f>
        <v/>
      </c>
      <c r="AM115" s="4" t="str">
        <f>IF($S$115="нет","без дифференциации",IF($V$115=0,"",$V$115))</f>
        <v/>
      </c>
      <c r="AN115" s="23">
        <f>$I$115</f>
        <v>0</v>
      </c>
      <c r="AO115" s="4" t="str">
        <f>$I$115&amp;"."&amp;$M$115</f>
        <v>.</v>
      </c>
      <c r="AP115" s="4" t="str">
        <f>$I$115&amp;"."&amp;$M$115&amp;"."&amp;$Q$115</f>
        <v>..</v>
      </c>
      <c r="AQ115" s="4" t="str">
        <f>$I$115&amp;"."&amp;$M$115&amp;"."&amp;$Q$115&amp;"."&amp;$U$115</f>
        <v>...</v>
      </c>
      <c r="AR115" s="22">
        <v>0</v>
      </c>
    </row>
    <row r="116" spans="1:44" s="22" customFormat="1" ht="17.25" hidden="1" customHeight="1">
      <c r="A116" s="108"/>
      <c r="D116" s="698"/>
      <c r="E116" s="679"/>
      <c r="F116" s="689"/>
      <c r="G116" s="679"/>
      <c r="H116" s="700"/>
      <c r="I116" s="682"/>
      <c r="J116" s="665"/>
      <c r="K116" s="665"/>
      <c r="L116" s="665"/>
      <c r="M116" s="665"/>
      <c r="N116" s="682"/>
      <c r="O116" s="665"/>
      <c r="P116" s="665"/>
      <c r="Q116" s="665"/>
      <c r="R116" s="682"/>
      <c r="S116" s="665"/>
      <c r="T116" s="439"/>
      <c r="U116" s="439"/>
      <c r="V116" s="439"/>
      <c r="W116" s="440"/>
      <c r="X116" s="4"/>
      <c r="Y116" s="4"/>
      <c r="Z116" s="4"/>
      <c r="AA116" s="4"/>
      <c r="AB116" s="4"/>
      <c r="AC116" s="4"/>
      <c r="AD116" s="4"/>
      <c r="AE116" s="4"/>
      <c r="AF116" s="4"/>
      <c r="AG116" s="4"/>
      <c r="AH116" s="4"/>
      <c r="AI116" s="4"/>
      <c r="AJ116" s="4"/>
      <c r="AK116" s="4"/>
      <c r="AL116" s="4"/>
      <c r="AM116" s="4"/>
      <c r="AN116" s="4"/>
      <c r="AO116" s="4"/>
      <c r="AP116" s="4"/>
      <c r="AQ116" s="4"/>
      <c r="AR116" s="22">
        <v>0</v>
      </c>
    </row>
    <row r="117" spans="1:44" s="22" customFormat="1" ht="17.25" hidden="1" customHeight="1">
      <c r="A117" s="108"/>
      <c r="D117" s="698"/>
      <c r="E117" s="698"/>
      <c r="F117" s="689"/>
      <c r="G117" s="698"/>
      <c r="H117" s="700"/>
      <c r="I117" s="682"/>
      <c r="J117" s="682"/>
      <c r="K117" s="665"/>
      <c r="L117" s="665"/>
      <c r="M117" s="665"/>
      <c r="N117" s="682"/>
      <c r="O117" s="665"/>
      <c r="P117" s="23"/>
      <c r="Q117" s="439"/>
      <c r="R117" s="439"/>
      <c r="W117" s="440"/>
      <c r="X117" s="4"/>
      <c r="Y117" s="4"/>
      <c r="Z117" s="4"/>
      <c r="AA117" s="4"/>
      <c r="AB117" s="4"/>
      <c r="AC117" s="4"/>
      <c r="AD117" s="4"/>
      <c r="AE117" s="4"/>
      <c r="AF117" s="4"/>
      <c r="AG117" s="4"/>
      <c r="AH117" s="4"/>
      <c r="AI117" s="4"/>
      <c r="AJ117" s="4"/>
      <c r="AK117" s="4"/>
      <c r="AL117" s="4"/>
      <c r="AM117" s="4"/>
      <c r="AN117" s="4"/>
      <c r="AO117" s="4"/>
      <c r="AP117" s="4"/>
      <c r="AQ117" s="4"/>
      <c r="AR117" s="22">
        <v>0</v>
      </c>
    </row>
    <row r="118" spans="1:44" s="22" customFormat="1" ht="17.25" hidden="1" customHeight="1">
      <c r="A118" s="108"/>
      <c r="D118" s="698"/>
      <c r="E118" s="698"/>
      <c r="F118" s="689"/>
      <c r="G118" s="698"/>
      <c r="H118" s="700"/>
      <c r="I118" s="682"/>
      <c r="J118" s="682"/>
      <c r="K118" s="665"/>
      <c r="L118" s="439"/>
      <c r="M118" s="439"/>
      <c r="N118" s="439"/>
      <c r="O118" s="439"/>
      <c r="P118" s="439"/>
      <c r="Q118" s="439"/>
      <c r="R118" s="439"/>
      <c r="W118" s="440"/>
      <c r="X118" s="4"/>
      <c r="Y118" s="4"/>
      <c r="Z118" s="4"/>
      <c r="AA118" s="4"/>
      <c r="AB118" s="4"/>
      <c r="AC118" s="4"/>
      <c r="AD118" s="4"/>
      <c r="AE118" s="4"/>
      <c r="AF118" s="4"/>
      <c r="AG118" s="4"/>
      <c r="AH118" s="4"/>
      <c r="AI118" s="4"/>
      <c r="AJ118" s="4"/>
      <c r="AK118" s="4"/>
      <c r="AL118" s="4"/>
      <c r="AM118" s="4"/>
      <c r="AN118" s="4"/>
      <c r="AO118" s="4"/>
      <c r="AP118" s="4"/>
      <c r="AQ118" s="4"/>
      <c r="AR118" s="22">
        <v>0</v>
      </c>
    </row>
    <row r="119" spans="1:44" s="22" customFormat="1" ht="17.25" hidden="1" customHeight="1">
      <c r="A119" s="108"/>
      <c r="D119" s="698"/>
      <c r="E119" s="698"/>
      <c r="F119" s="687"/>
      <c r="G119" s="698"/>
      <c r="H119" s="441"/>
      <c r="I119" s="442"/>
      <c r="J119" s="442"/>
      <c r="K119" s="442"/>
      <c r="L119" s="442"/>
      <c r="M119" s="442"/>
      <c r="N119" s="442"/>
      <c r="O119" s="442"/>
      <c r="P119" s="442"/>
      <c r="Q119" s="442"/>
      <c r="R119" s="442"/>
      <c r="S119" s="443"/>
      <c r="T119" s="443"/>
      <c r="U119" s="443"/>
      <c r="V119" s="443"/>
      <c r="W119" s="444"/>
      <c r="X119" s="4"/>
      <c r="Y119" s="4"/>
      <c r="Z119" s="4"/>
      <c r="AA119" s="4"/>
      <c r="AB119" s="4"/>
      <c r="AC119" s="4"/>
      <c r="AD119" s="4"/>
      <c r="AE119" s="4"/>
      <c r="AF119" s="4"/>
      <c r="AG119" s="4"/>
      <c r="AH119" s="4"/>
      <c r="AI119" s="4"/>
      <c r="AJ119" s="4"/>
      <c r="AK119" s="4"/>
      <c r="AL119" s="4"/>
      <c r="AM119" s="4"/>
      <c r="AN119" s="4"/>
      <c r="AO119" s="4"/>
      <c r="AP119" s="4"/>
      <c r="AQ119" s="4"/>
      <c r="AR119" s="22">
        <v>0</v>
      </c>
    </row>
    <row r="120" spans="1:44" s="22" customFormat="1" ht="11.25" hidden="1" customHeight="1">
      <c r="A120" s="46"/>
      <c r="B120" s="46"/>
      <c r="Y120" s="4"/>
      <c r="Z120" s="4"/>
      <c r="AA120" s="4"/>
      <c r="AB120" s="4"/>
      <c r="AC120" s="4"/>
      <c r="AD120" s="4"/>
      <c r="AE120" s="4"/>
      <c r="AF120" s="4"/>
      <c r="AG120" s="4"/>
      <c r="AH120" s="4"/>
      <c r="AI120" s="4"/>
      <c r="AJ120" s="4"/>
      <c r="AK120" s="4"/>
      <c r="AL120" s="4"/>
      <c r="AM120" s="4"/>
      <c r="AN120" s="4"/>
      <c r="AO120" s="4"/>
      <c r="AP120" s="4"/>
      <c r="AQ120" s="4"/>
      <c r="AR120" s="22">
        <v>0</v>
      </c>
    </row>
    <row r="121" spans="1:44" s="22" customFormat="1" ht="17.25" hidden="1" customHeight="1">
      <c r="A121" s="108"/>
      <c r="C121" s="16"/>
      <c r="D121" s="698">
        <v>1</v>
      </c>
      <c r="E121" s="679" t="s">
        <v>267</v>
      </c>
      <c r="F121" s="686" t="s">
        <v>19</v>
      </c>
      <c r="G121" s="679"/>
      <c r="H121" s="699"/>
      <c r="I121" s="696"/>
      <c r="J121" s="697"/>
      <c r="K121" s="697"/>
      <c r="L121" s="697"/>
      <c r="M121" s="697"/>
      <c r="N121" s="696"/>
      <c r="O121" s="697"/>
      <c r="P121" s="697"/>
      <c r="Q121" s="697"/>
      <c r="R121" s="696"/>
      <c r="S121" s="697"/>
      <c r="T121" s="470"/>
      <c r="U121" s="470"/>
      <c r="V121" s="469"/>
      <c r="W121" s="438"/>
      <c r="Y121" s="4"/>
      <c r="Z121" s="4"/>
      <c r="AA121" s="4"/>
      <c r="AB121" s="4"/>
      <c r="AC121" s="4" t="s">
        <v>268</v>
      </c>
      <c r="AD121" s="4" t="s">
        <v>269</v>
      </c>
      <c r="AE121" s="4" t="s">
        <v>270</v>
      </c>
      <c r="AF121" s="4" t="s">
        <v>271</v>
      </c>
      <c r="AG121" s="4"/>
      <c r="AH121" s="4" t="str">
        <f>IF($E$121=0,"",$E$121)</f>
        <v>Тариф на водоотведение</v>
      </c>
      <c r="AI121" s="4" t="str">
        <f>IF($G$121=0,"",$G$121)</f>
        <v/>
      </c>
      <c r="AJ121" s="4" t="str">
        <f>IF($J$121=0,"",$J$121)</f>
        <v/>
      </c>
      <c r="AK121" s="4" t="str">
        <f>IF($K$121="нет","без дифференциации",IF($N$121=0,"",$N$121))</f>
        <v/>
      </c>
      <c r="AL121" s="4" t="str">
        <f>IF($O$121="нет","без дифференциации",IF($R$121=0,"",$R$121))</f>
        <v/>
      </c>
      <c r="AM121" s="4" t="str">
        <f>IF($S$121="нет","без дифференциации",IF($V$121=0,"",$V$121))</f>
        <v/>
      </c>
      <c r="AN121" s="4">
        <f>$I$121</f>
        <v>0</v>
      </c>
      <c r="AO121" s="4" t="str">
        <f>$I$121&amp;"."&amp;$M$121</f>
        <v>.</v>
      </c>
      <c r="AP121" s="4" t="str">
        <f>$I$121&amp;"."&amp;$M$121&amp;"."&amp;$Q$121</f>
        <v>..</v>
      </c>
      <c r="AQ121" s="4" t="str">
        <f>$I$121&amp;"."&amp;$M$121&amp;"."&amp;$Q$121&amp;"."&amp;$U$121</f>
        <v>...</v>
      </c>
      <c r="AR121" s="22">
        <v>0</v>
      </c>
    </row>
    <row r="122" spans="1:44" s="22" customFormat="1" ht="17.25" hidden="1" customHeight="1">
      <c r="A122" s="108"/>
      <c r="D122" s="698"/>
      <c r="E122" s="679"/>
      <c r="F122" s="689"/>
      <c r="G122" s="679"/>
      <c r="H122" s="700"/>
      <c r="I122" s="682"/>
      <c r="J122" s="665"/>
      <c r="K122" s="665"/>
      <c r="L122" s="665"/>
      <c r="M122" s="665"/>
      <c r="N122" s="682"/>
      <c r="O122" s="665"/>
      <c r="P122" s="665"/>
      <c r="Q122" s="665"/>
      <c r="R122" s="682"/>
      <c r="S122" s="665"/>
      <c r="T122" s="439"/>
      <c r="U122" s="439"/>
      <c r="V122" s="439"/>
      <c r="W122" s="440"/>
      <c r="Y122" s="4"/>
      <c r="Z122" s="4"/>
      <c r="AA122" s="4"/>
      <c r="AB122" s="4"/>
      <c r="AC122" s="4"/>
      <c r="AD122" s="4"/>
      <c r="AE122" s="4"/>
      <c r="AF122" s="4"/>
      <c r="AG122" s="4"/>
      <c r="AH122" s="4"/>
      <c r="AI122" s="4"/>
      <c r="AJ122" s="4"/>
      <c r="AK122" s="4"/>
      <c r="AL122" s="4"/>
      <c r="AM122" s="4"/>
      <c r="AN122" s="4"/>
      <c r="AO122" s="4"/>
      <c r="AP122" s="4"/>
      <c r="AQ122" s="4"/>
      <c r="AR122" s="22">
        <v>0</v>
      </c>
    </row>
    <row r="123" spans="1:44" s="22" customFormat="1" ht="17.25" hidden="1" customHeight="1">
      <c r="A123" s="108"/>
      <c r="C123" s="16"/>
      <c r="D123" s="698"/>
      <c r="E123" s="679"/>
      <c r="F123" s="689"/>
      <c r="G123" s="679"/>
      <c r="H123" s="700"/>
      <c r="I123" s="682"/>
      <c r="J123" s="682"/>
      <c r="K123" s="665"/>
      <c r="L123" s="665"/>
      <c r="M123" s="665"/>
      <c r="N123" s="682"/>
      <c r="O123" s="665"/>
      <c r="P123" s="23"/>
      <c r="Q123" s="439"/>
      <c r="R123" s="439"/>
      <c r="W123" s="440"/>
      <c r="Y123" s="4"/>
      <c r="Z123" s="4"/>
      <c r="AA123" s="4"/>
      <c r="AB123" s="4"/>
      <c r="AC123" s="4"/>
      <c r="AD123" s="4"/>
      <c r="AE123" s="4"/>
      <c r="AF123" s="4"/>
      <c r="AG123" s="4"/>
      <c r="AH123" s="4"/>
      <c r="AI123" s="4"/>
      <c r="AJ123" s="4"/>
      <c r="AK123" s="4"/>
      <c r="AL123" s="4"/>
      <c r="AM123" s="4"/>
      <c r="AN123" s="4"/>
      <c r="AO123" s="4"/>
      <c r="AP123" s="4"/>
      <c r="AQ123" s="4"/>
      <c r="AR123" s="22">
        <v>0</v>
      </c>
    </row>
    <row r="124" spans="1:44" s="22" customFormat="1" ht="17.25" hidden="1" customHeight="1">
      <c r="A124" s="108"/>
      <c r="D124" s="698"/>
      <c r="E124" s="679"/>
      <c r="F124" s="689"/>
      <c r="G124" s="679"/>
      <c r="H124" s="700"/>
      <c r="I124" s="682"/>
      <c r="J124" s="682"/>
      <c r="K124" s="665"/>
      <c r="L124" s="439"/>
      <c r="M124" s="439"/>
      <c r="N124" s="439"/>
      <c r="O124" s="439"/>
      <c r="P124" s="439"/>
      <c r="Q124" s="439"/>
      <c r="R124" s="439"/>
      <c r="W124" s="440"/>
      <c r="Y124" s="4"/>
      <c r="Z124" s="4"/>
      <c r="AA124" s="4"/>
      <c r="AB124" s="4"/>
      <c r="AC124" s="4"/>
      <c r="AD124" s="4"/>
      <c r="AE124" s="4"/>
      <c r="AF124" s="4"/>
      <c r="AG124" s="4"/>
      <c r="AH124" s="4"/>
      <c r="AI124" s="4"/>
      <c r="AJ124" s="4"/>
      <c r="AK124" s="4"/>
      <c r="AL124" s="4"/>
      <c r="AM124" s="4"/>
      <c r="AN124" s="4"/>
      <c r="AO124" s="4"/>
      <c r="AP124" s="4"/>
      <c r="AQ124" s="4"/>
      <c r="AR124" s="22">
        <v>0</v>
      </c>
    </row>
    <row r="125" spans="1:44" s="22" customFormat="1" ht="17.25" hidden="1" customHeight="1">
      <c r="A125" s="108"/>
      <c r="D125" s="698"/>
      <c r="E125" s="698"/>
      <c r="F125" s="687"/>
      <c r="G125" s="698"/>
      <c r="H125" s="441"/>
      <c r="I125" s="442"/>
      <c r="J125" s="442"/>
      <c r="K125" s="442"/>
      <c r="L125" s="442"/>
      <c r="M125" s="442"/>
      <c r="N125" s="442"/>
      <c r="O125" s="442"/>
      <c r="P125" s="442"/>
      <c r="Q125" s="442"/>
      <c r="R125" s="442"/>
      <c r="S125" s="443"/>
      <c r="T125" s="443"/>
      <c r="U125" s="443"/>
      <c r="V125" s="443"/>
      <c r="W125" s="444"/>
      <c r="Y125" s="4"/>
      <c r="Z125" s="4"/>
      <c r="AA125" s="4"/>
      <c r="AB125" s="4"/>
      <c r="AC125" s="4"/>
      <c r="AD125" s="4"/>
      <c r="AE125" s="4"/>
      <c r="AF125" s="4"/>
      <c r="AG125" s="4"/>
      <c r="AH125" s="4"/>
      <c r="AI125" s="4"/>
      <c r="AJ125" s="4"/>
      <c r="AK125" s="4"/>
      <c r="AL125" s="4"/>
      <c r="AM125" s="4"/>
      <c r="AN125" s="4"/>
      <c r="AO125" s="4"/>
      <c r="AP125" s="4"/>
      <c r="AQ125" s="4"/>
      <c r="AR125" s="22">
        <v>0</v>
      </c>
    </row>
    <row r="126" spans="1:44" s="22" customFormat="1" ht="17.25" hidden="1" customHeight="1">
      <c r="A126" s="108"/>
      <c r="C126" s="16"/>
      <c r="D126" s="698">
        <v>2</v>
      </c>
      <c r="E126" s="679" t="s">
        <v>272</v>
      </c>
      <c r="F126" s="686" t="s">
        <v>19</v>
      </c>
      <c r="G126" s="679"/>
      <c r="H126" s="699"/>
      <c r="I126" s="696"/>
      <c r="J126" s="697"/>
      <c r="K126" s="697"/>
      <c r="L126" s="697"/>
      <c r="M126" s="697"/>
      <c r="N126" s="696"/>
      <c r="O126" s="697"/>
      <c r="P126" s="697"/>
      <c r="Q126" s="697"/>
      <c r="R126" s="696"/>
      <c r="S126" s="697"/>
      <c r="T126" s="470"/>
      <c r="U126" s="470"/>
      <c r="V126" s="469"/>
      <c r="W126" s="438"/>
      <c r="X126" s="4"/>
      <c r="Y126" s="4"/>
      <c r="Z126" s="4"/>
      <c r="AA126" s="4"/>
      <c r="AB126" s="4"/>
      <c r="AC126" s="4" t="s">
        <v>273</v>
      </c>
      <c r="AD126" s="4" t="s">
        <v>274</v>
      </c>
      <c r="AE126" s="4" t="s">
        <v>275</v>
      </c>
      <c r="AF126" s="4" t="s">
        <v>276</v>
      </c>
      <c r="AG126" s="4"/>
      <c r="AH126" s="4" t="str">
        <f>IF($E$126=0,"",$E$126)</f>
        <v>Тариф на транспортировку сточных вод</v>
      </c>
      <c r="AI126" s="4" t="str">
        <f>IF($G$126=0,"",$G$126)</f>
        <v/>
      </c>
      <c r="AJ126" s="4" t="str">
        <f>IF($J$126=0,"",$J$126)</f>
        <v/>
      </c>
      <c r="AK126" s="4" t="str">
        <f>IF($K$126="нет","без дифференциации",IF($N$126=0,"",$N$126))</f>
        <v/>
      </c>
      <c r="AL126" s="4" t="str">
        <f>IF($O$126="нет","без дифференциации",IF($R$126=0,"",$R$126))</f>
        <v/>
      </c>
      <c r="AM126" s="4" t="str">
        <f>IF($S$126="нет","без дифференциации",IF($V$126=0,"",$V$126))</f>
        <v/>
      </c>
      <c r="AN126" s="23">
        <f>$I$126</f>
        <v>0</v>
      </c>
      <c r="AO126" s="4" t="str">
        <f>$I$126&amp;"."&amp;$M$126</f>
        <v>.</v>
      </c>
      <c r="AP126" s="4" t="str">
        <f>$I$126&amp;"."&amp;$M$126&amp;"."&amp;$Q$126</f>
        <v>..</v>
      </c>
      <c r="AQ126" s="4" t="str">
        <f>$I$126&amp;"."&amp;$M$126&amp;"."&amp;$Q$126&amp;"."&amp;$U$126</f>
        <v>...</v>
      </c>
      <c r="AR126" s="22">
        <v>0</v>
      </c>
    </row>
    <row r="127" spans="1:44" s="22" customFormat="1" ht="17.25" hidden="1" customHeight="1">
      <c r="A127" s="108"/>
      <c r="D127" s="698"/>
      <c r="E127" s="679"/>
      <c r="F127" s="689"/>
      <c r="G127" s="679"/>
      <c r="H127" s="700"/>
      <c r="I127" s="682"/>
      <c r="J127" s="665"/>
      <c r="K127" s="665"/>
      <c r="L127" s="665"/>
      <c r="M127" s="665"/>
      <c r="N127" s="682"/>
      <c r="O127" s="665"/>
      <c r="P127" s="665"/>
      <c r="Q127" s="665"/>
      <c r="R127" s="682"/>
      <c r="S127" s="665"/>
      <c r="T127" s="439"/>
      <c r="U127" s="439"/>
      <c r="V127" s="439"/>
      <c r="W127" s="440"/>
      <c r="X127" s="4"/>
      <c r="Y127" s="4"/>
      <c r="Z127" s="4"/>
      <c r="AA127" s="4"/>
      <c r="AB127" s="4"/>
      <c r="AC127" s="4"/>
      <c r="AD127" s="4"/>
      <c r="AE127" s="4"/>
      <c r="AF127" s="4"/>
      <c r="AG127" s="4"/>
      <c r="AH127" s="4"/>
      <c r="AI127" s="4"/>
      <c r="AJ127" s="4"/>
      <c r="AK127" s="4"/>
      <c r="AL127" s="4"/>
      <c r="AM127" s="4"/>
      <c r="AN127" s="4"/>
      <c r="AO127" s="4"/>
      <c r="AP127" s="4"/>
      <c r="AQ127" s="4"/>
      <c r="AR127" s="22">
        <v>0</v>
      </c>
    </row>
    <row r="128" spans="1:44" s="22" customFormat="1" ht="17.25" hidden="1" customHeight="1">
      <c r="A128" s="108"/>
      <c r="D128" s="698"/>
      <c r="E128" s="698"/>
      <c r="F128" s="689"/>
      <c r="G128" s="698"/>
      <c r="H128" s="700"/>
      <c r="I128" s="682"/>
      <c r="J128" s="682"/>
      <c r="K128" s="665"/>
      <c r="L128" s="665"/>
      <c r="M128" s="665"/>
      <c r="N128" s="682"/>
      <c r="O128" s="665"/>
      <c r="P128" s="23"/>
      <c r="Q128" s="439"/>
      <c r="R128" s="439"/>
      <c r="W128" s="440"/>
      <c r="X128" s="4"/>
      <c r="Y128" s="4"/>
      <c r="Z128" s="4"/>
      <c r="AA128" s="4"/>
      <c r="AB128" s="4"/>
      <c r="AC128" s="4"/>
      <c r="AD128" s="4"/>
      <c r="AE128" s="4"/>
      <c r="AF128" s="4"/>
      <c r="AG128" s="4"/>
      <c r="AH128" s="4"/>
      <c r="AI128" s="4"/>
      <c r="AJ128" s="4"/>
      <c r="AK128" s="4"/>
      <c r="AL128" s="4"/>
      <c r="AM128" s="4"/>
      <c r="AN128" s="4"/>
      <c r="AO128" s="4"/>
      <c r="AP128" s="4"/>
      <c r="AQ128" s="4"/>
      <c r="AR128" s="22">
        <v>0</v>
      </c>
    </row>
    <row r="129" spans="1:44" s="22" customFormat="1" ht="17.25" hidden="1" customHeight="1">
      <c r="A129" s="108"/>
      <c r="D129" s="698"/>
      <c r="E129" s="698"/>
      <c r="F129" s="689"/>
      <c r="G129" s="698"/>
      <c r="H129" s="700"/>
      <c r="I129" s="682"/>
      <c r="J129" s="682"/>
      <c r="K129" s="665"/>
      <c r="L129" s="439"/>
      <c r="M129" s="439"/>
      <c r="N129" s="439"/>
      <c r="O129" s="439"/>
      <c r="P129" s="439"/>
      <c r="Q129" s="439"/>
      <c r="R129" s="439"/>
      <c r="W129" s="440"/>
      <c r="X129" s="4"/>
      <c r="Y129" s="4"/>
      <c r="Z129" s="4"/>
      <c r="AA129" s="4"/>
      <c r="AB129" s="4"/>
      <c r="AC129" s="4"/>
      <c r="AD129" s="4"/>
      <c r="AE129" s="4"/>
      <c r="AF129" s="4"/>
      <c r="AG129" s="4"/>
      <c r="AH129" s="4"/>
      <c r="AI129" s="4"/>
      <c r="AJ129" s="4"/>
      <c r="AK129" s="4"/>
      <c r="AL129" s="4"/>
      <c r="AM129" s="4"/>
      <c r="AN129" s="4"/>
      <c r="AO129" s="4"/>
      <c r="AP129" s="4"/>
      <c r="AQ129" s="4"/>
      <c r="AR129" s="22">
        <v>0</v>
      </c>
    </row>
    <row r="130" spans="1:44" s="22" customFormat="1" ht="17.25" hidden="1" customHeight="1">
      <c r="A130" s="108"/>
      <c r="D130" s="698"/>
      <c r="E130" s="698"/>
      <c r="F130" s="687"/>
      <c r="G130" s="698"/>
      <c r="H130" s="441"/>
      <c r="I130" s="442"/>
      <c r="J130" s="442"/>
      <c r="K130" s="442"/>
      <c r="L130" s="442"/>
      <c r="M130" s="442"/>
      <c r="N130" s="442"/>
      <c r="O130" s="442"/>
      <c r="P130" s="442"/>
      <c r="Q130" s="442"/>
      <c r="R130" s="442"/>
      <c r="S130" s="443"/>
      <c r="T130" s="443"/>
      <c r="U130" s="443"/>
      <c r="V130" s="443"/>
      <c r="W130" s="444"/>
      <c r="X130" s="4"/>
      <c r="Y130" s="4"/>
      <c r="Z130" s="4"/>
      <c r="AA130" s="4"/>
      <c r="AB130" s="4"/>
      <c r="AC130" s="4"/>
      <c r="AD130" s="4"/>
      <c r="AE130" s="4"/>
      <c r="AF130" s="4"/>
      <c r="AG130" s="4"/>
      <c r="AH130" s="4"/>
      <c r="AI130" s="4"/>
      <c r="AJ130" s="4"/>
      <c r="AK130" s="4"/>
      <c r="AL130" s="4"/>
      <c r="AM130" s="4"/>
      <c r="AN130" s="4"/>
      <c r="AO130" s="4"/>
      <c r="AP130" s="4"/>
      <c r="AQ130" s="4"/>
      <c r="AR130" s="22">
        <v>0</v>
      </c>
    </row>
    <row r="131" spans="1:44" s="22" customFormat="1" ht="17.25" hidden="1" customHeight="1">
      <c r="A131" s="108"/>
      <c r="C131" s="16"/>
      <c r="D131" s="698">
        <v>3</v>
      </c>
      <c r="E131" s="679" t="s">
        <v>277</v>
      </c>
      <c r="F131" s="686" t="s">
        <v>19</v>
      </c>
      <c r="G131" s="679"/>
      <c r="H131" s="699"/>
      <c r="I131" s="696"/>
      <c r="J131" s="697"/>
      <c r="K131" s="697"/>
      <c r="L131" s="697"/>
      <c r="M131" s="697"/>
      <c r="N131" s="696"/>
      <c r="O131" s="697"/>
      <c r="P131" s="697"/>
      <c r="Q131" s="697"/>
      <c r="R131" s="696"/>
      <c r="S131" s="697"/>
      <c r="T131" s="470"/>
      <c r="U131" s="470"/>
      <c r="V131" s="469"/>
      <c r="W131" s="438"/>
      <c r="X131" s="4"/>
      <c r="Y131" s="4"/>
      <c r="Z131" s="4"/>
      <c r="AA131" s="4"/>
      <c r="AB131" s="4"/>
      <c r="AC131" s="4" t="s">
        <v>278</v>
      </c>
      <c r="AD131" s="4" t="s">
        <v>279</v>
      </c>
      <c r="AE131" s="4" t="s">
        <v>280</v>
      </c>
      <c r="AF131" s="4" t="s">
        <v>281</v>
      </c>
      <c r="AG131" s="4"/>
      <c r="AH131" s="4" t="str">
        <f>IF($E$131=0,"",$E$131)</f>
        <v>Тариф на подключение (технологическое присоединение) к централизованной системе водоотведения</v>
      </c>
      <c r="AI131" s="4" t="str">
        <f>IF($G$131=0,"",$G$131)</f>
        <v/>
      </c>
      <c r="AJ131" s="4" t="str">
        <f>IF($J$131=0,"",$J$131)</f>
        <v/>
      </c>
      <c r="AK131" s="4" t="str">
        <f>IF($K$131="нет","без дифференциации",IF($N$131=0,"",$N$131))</f>
        <v/>
      </c>
      <c r="AL131" s="4" t="str">
        <f>IF($O$131="нет","без дифференциации",IF($R$131=0,"",$R$131))</f>
        <v/>
      </c>
      <c r="AM131" s="4" t="str">
        <f>IF($S$131="нет","без дифференциации",IF($V$131=0,"",$V$131))</f>
        <v/>
      </c>
      <c r="AN131" s="23">
        <f>$I$131</f>
        <v>0</v>
      </c>
      <c r="AO131" s="4" t="str">
        <f>$I$131&amp;"."&amp;$M$131</f>
        <v>.</v>
      </c>
      <c r="AP131" s="4" t="str">
        <f>$I$131&amp;"."&amp;$M$131&amp;"."&amp;$Q$131</f>
        <v>..</v>
      </c>
      <c r="AQ131" s="4" t="str">
        <f>$I$131&amp;"."&amp;$M$131&amp;"."&amp;$Q$131&amp;"."&amp;$U$131</f>
        <v>...</v>
      </c>
      <c r="AR131" s="22">
        <v>0</v>
      </c>
    </row>
    <row r="132" spans="1:44" s="22" customFormat="1" ht="17.25" hidden="1" customHeight="1">
      <c r="A132" s="108"/>
      <c r="D132" s="698"/>
      <c r="E132" s="679"/>
      <c r="F132" s="689"/>
      <c r="G132" s="679"/>
      <c r="H132" s="700"/>
      <c r="I132" s="682"/>
      <c r="J132" s="665"/>
      <c r="K132" s="665"/>
      <c r="L132" s="665"/>
      <c r="M132" s="665"/>
      <c r="N132" s="682"/>
      <c r="O132" s="665"/>
      <c r="P132" s="665"/>
      <c r="Q132" s="665"/>
      <c r="R132" s="682"/>
      <c r="S132" s="665"/>
      <c r="T132" s="439"/>
      <c r="U132" s="439"/>
      <c r="V132" s="439"/>
      <c r="W132" s="440"/>
      <c r="X132" s="4"/>
      <c r="Y132" s="4"/>
      <c r="Z132" s="4"/>
      <c r="AA132" s="4"/>
      <c r="AB132" s="4"/>
      <c r="AC132" s="4"/>
      <c r="AD132" s="4"/>
      <c r="AE132" s="4"/>
      <c r="AF132" s="4"/>
      <c r="AG132" s="4"/>
      <c r="AH132" s="4"/>
      <c r="AI132" s="4"/>
      <c r="AJ132" s="4"/>
      <c r="AK132" s="4"/>
      <c r="AL132" s="4"/>
      <c r="AM132" s="4"/>
      <c r="AN132" s="4"/>
      <c r="AO132" s="4"/>
      <c r="AP132" s="4"/>
      <c r="AQ132" s="4"/>
      <c r="AR132" s="22">
        <v>0</v>
      </c>
    </row>
    <row r="133" spans="1:44" s="22" customFormat="1" ht="17.25" hidden="1" customHeight="1">
      <c r="A133" s="108"/>
      <c r="D133" s="698"/>
      <c r="E133" s="698"/>
      <c r="F133" s="689"/>
      <c r="G133" s="698"/>
      <c r="H133" s="700"/>
      <c r="I133" s="682"/>
      <c r="J133" s="682"/>
      <c r="K133" s="665"/>
      <c r="L133" s="665"/>
      <c r="M133" s="665"/>
      <c r="N133" s="682"/>
      <c r="O133" s="665"/>
      <c r="P133" s="23"/>
      <c r="Q133" s="439"/>
      <c r="R133" s="439"/>
      <c r="W133" s="440"/>
      <c r="X133" s="4"/>
      <c r="Y133" s="4"/>
      <c r="Z133" s="4"/>
      <c r="AA133" s="4"/>
      <c r="AB133" s="4"/>
      <c r="AC133" s="4"/>
      <c r="AD133" s="4"/>
      <c r="AE133" s="4"/>
      <c r="AF133" s="4"/>
      <c r="AG133" s="4"/>
      <c r="AH133" s="4"/>
      <c r="AI133" s="4"/>
      <c r="AJ133" s="4"/>
      <c r="AK133" s="4"/>
      <c r="AL133" s="4"/>
      <c r="AM133" s="4"/>
      <c r="AN133" s="4"/>
      <c r="AO133" s="4"/>
      <c r="AP133" s="4"/>
      <c r="AQ133" s="4"/>
      <c r="AR133" s="22">
        <v>0</v>
      </c>
    </row>
    <row r="134" spans="1:44" s="22" customFormat="1" ht="17.25" hidden="1" customHeight="1">
      <c r="A134" s="108"/>
      <c r="D134" s="698"/>
      <c r="E134" s="698"/>
      <c r="F134" s="689"/>
      <c r="G134" s="698"/>
      <c r="H134" s="700"/>
      <c r="I134" s="682"/>
      <c r="J134" s="682"/>
      <c r="K134" s="665"/>
      <c r="L134" s="439"/>
      <c r="M134" s="439"/>
      <c r="N134" s="439"/>
      <c r="O134" s="439"/>
      <c r="P134" s="439"/>
      <c r="Q134" s="439"/>
      <c r="R134" s="439"/>
      <c r="W134" s="440"/>
      <c r="X134" s="4"/>
      <c r="Y134" s="4"/>
      <c r="Z134" s="4"/>
      <c r="AA134" s="4"/>
      <c r="AB134" s="4"/>
      <c r="AC134" s="4"/>
      <c r="AD134" s="4"/>
      <c r="AE134" s="4"/>
      <c r="AF134" s="4"/>
      <c r="AG134" s="4"/>
      <c r="AH134" s="4"/>
      <c r="AI134" s="4"/>
      <c r="AJ134" s="4"/>
      <c r="AK134" s="4"/>
      <c r="AL134" s="4"/>
      <c r="AM134" s="4"/>
      <c r="AN134" s="4"/>
      <c r="AO134" s="4"/>
      <c r="AP134" s="4"/>
      <c r="AQ134" s="4"/>
      <c r="AR134" s="22">
        <v>0</v>
      </c>
    </row>
    <row r="135" spans="1:44" s="22" customFormat="1" ht="17.25" hidden="1" customHeight="1">
      <c r="A135" s="108"/>
      <c r="D135" s="698"/>
      <c r="E135" s="698"/>
      <c r="F135" s="687"/>
      <c r="G135" s="698"/>
      <c r="H135" s="441"/>
      <c r="I135" s="442"/>
      <c r="J135" s="442"/>
      <c r="K135" s="442"/>
      <c r="L135" s="442"/>
      <c r="M135" s="442"/>
      <c r="N135" s="442"/>
      <c r="O135" s="442"/>
      <c r="P135" s="442"/>
      <c r="Q135" s="442"/>
      <c r="R135" s="442"/>
      <c r="S135" s="443"/>
      <c r="T135" s="443"/>
      <c r="U135" s="443"/>
      <c r="V135" s="443"/>
      <c r="W135" s="444"/>
      <c r="X135" s="4"/>
      <c r="Y135" s="4"/>
      <c r="Z135" s="4"/>
      <c r="AA135" s="4"/>
      <c r="AB135" s="4"/>
      <c r="AC135" s="4"/>
      <c r="AD135" s="4"/>
      <c r="AE135" s="4"/>
      <c r="AF135" s="4"/>
      <c r="AG135" s="4"/>
      <c r="AH135" s="4"/>
      <c r="AI135" s="4"/>
      <c r="AJ135" s="4"/>
      <c r="AK135" s="4"/>
      <c r="AL135" s="4"/>
      <c r="AM135" s="4"/>
      <c r="AN135" s="4"/>
      <c r="AO135" s="4"/>
      <c r="AP135" s="4"/>
      <c r="AQ135" s="4"/>
      <c r="AR135" s="22">
        <v>0</v>
      </c>
    </row>
    <row r="136" spans="1:44" ht="11.45" customHeight="1">
      <c r="AR136" s="22">
        <v>11</v>
      </c>
    </row>
    <row r="137" spans="1:44" ht="11.45" customHeight="1">
      <c r="AR137" s="22">
        <v>11</v>
      </c>
    </row>
    <row r="138" spans="1:44" ht="11.45" customHeight="1">
      <c r="AR138" s="22">
        <v>11</v>
      </c>
    </row>
    <row r="139" spans="1:44" ht="11.45" customHeight="1">
      <c r="AR139" s="22">
        <v>11</v>
      </c>
    </row>
    <row r="140" spans="1:44" ht="11.45" customHeight="1">
      <c r="AR140" s="22">
        <v>11</v>
      </c>
    </row>
    <row r="141" spans="1:44" ht="11.45" customHeight="1">
      <c r="AR141" s="22">
        <v>11</v>
      </c>
    </row>
    <row r="142" spans="1:44" ht="11.45" customHeight="1">
      <c r="AR142" s="22">
        <v>11</v>
      </c>
    </row>
    <row r="143" spans="1:44" ht="11.45" customHeight="1">
      <c r="AR143" s="22">
        <v>11</v>
      </c>
    </row>
    <row r="144" spans="1:44" ht="11.45" customHeight="1">
      <c r="AR144" s="22">
        <v>11</v>
      </c>
    </row>
    <row r="145" spans="1:44" ht="11.45" customHeight="1">
      <c r="AR145" s="22">
        <v>11</v>
      </c>
    </row>
    <row r="146" spans="1:44" ht="11.25" hidden="1" customHeight="1">
      <c r="A146" s="46" t="s">
        <v>82</v>
      </c>
      <c r="B146" s="46">
        <v>0</v>
      </c>
      <c r="C146" s="22">
        <v>3</v>
      </c>
      <c r="D146" s="22">
        <v>6</v>
      </c>
      <c r="E146" s="22">
        <v>42</v>
      </c>
      <c r="F146" s="22">
        <v>14</v>
      </c>
      <c r="G146" s="22">
        <v>42</v>
      </c>
      <c r="H146" s="22">
        <v>3</v>
      </c>
      <c r="I146" s="22">
        <v>5</v>
      </c>
      <c r="J146" s="22">
        <v>47</v>
      </c>
      <c r="K146" s="22">
        <v>3</v>
      </c>
      <c r="L146" s="22">
        <v>3</v>
      </c>
      <c r="M146" s="22">
        <v>5</v>
      </c>
      <c r="N146" s="22">
        <v>28</v>
      </c>
      <c r="O146" s="22">
        <v>3</v>
      </c>
      <c r="P146" s="22">
        <v>3</v>
      </c>
      <c r="Q146" s="22">
        <v>5</v>
      </c>
      <c r="R146" s="22">
        <v>34</v>
      </c>
      <c r="S146" s="22">
        <v>0</v>
      </c>
      <c r="T146" s="22">
        <v>0</v>
      </c>
      <c r="U146" s="22">
        <v>0</v>
      </c>
      <c r="V146" s="22">
        <v>0</v>
      </c>
      <c r="W146" s="22">
        <v>30</v>
      </c>
      <c r="X146" s="22">
        <v>3</v>
      </c>
      <c r="Y146" s="4">
        <v>0</v>
      </c>
      <c r="Z146" s="4">
        <v>0</v>
      </c>
      <c r="AA146" s="4">
        <v>0</v>
      </c>
      <c r="AB146" s="4">
        <v>0</v>
      </c>
      <c r="AC146" s="4">
        <v>0</v>
      </c>
      <c r="AD146" s="4">
        <v>0</v>
      </c>
      <c r="AE146" s="4">
        <v>0</v>
      </c>
      <c r="AF146" s="4">
        <v>0</v>
      </c>
      <c r="AG146" s="4">
        <v>0</v>
      </c>
      <c r="AH146" s="4">
        <v>0</v>
      </c>
      <c r="AI146" s="4">
        <v>0</v>
      </c>
      <c r="AJ146" s="4">
        <v>0</v>
      </c>
      <c r="AK146" s="4">
        <v>0</v>
      </c>
      <c r="AL146" s="4">
        <v>0</v>
      </c>
      <c r="AM146" s="4">
        <v>0</v>
      </c>
      <c r="AN146" s="4">
        <v>0</v>
      </c>
      <c r="AO146" s="4">
        <v>0</v>
      </c>
      <c r="AP146" s="4">
        <v>0</v>
      </c>
      <c r="AQ146" s="4">
        <v>0</v>
      </c>
      <c r="AR146" s="22">
        <v>11</v>
      </c>
    </row>
  </sheetData>
  <sheetProtection formatColumns="0" formatRows="0" insertRows="0" deleteColumns="0" deleteRows="0" sort="0" autoFilter="0"/>
  <mergeCells count="379">
    <mergeCell ref="D58:D62"/>
    <mergeCell ref="M99:M101"/>
    <mergeCell ref="M58:M60"/>
    <mergeCell ref="N58:N60"/>
    <mergeCell ref="O58:O60"/>
    <mergeCell ref="P58:P59"/>
    <mergeCell ref="Q58:Q59"/>
    <mergeCell ref="R58:R59"/>
    <mergeCell ref="S58:S59"/>
    <mergeCell ref="D63:D67"/>
    <mergeCell ref="E63:E67"/>
    <mergeCell ref="F63:F67"/>
    <mergeCell ref="G63:G67"/>
    <mergeCell ref="H63:H66"/>
    <mergeCell ref="I63:I66"/>
    <mergeCell ref="J63:J66"/>
    <mergeCell ref="K63:K66"/>
    <mergeCell ref="L63:L65"/>
    <mergeCell ref="M63:M65"/>
    <mergeCell ref="N63:N65"/>
    <mergeCell ref="O63:O65"/>
    <mergeCell ref="P63:P64"/>
    <mergeCell ref="Q63:Q64"/>
    <mergeCell ref="R63:R64"/>
    <mergeCell ref="S63:S64"/>
    <mergeCell ref="E58:E62"/>
    <mergeCell ref="F58:F62"/>
    <mergeCell ref="G58:G62"/>
    <mergeCell ref="H58:H61"/>
    <mergeCell ref="I58:I61"/>
    <mergeCell ref="J58:J61"/>
    <mergeCell ref="K58:K61"/>
    <mergeCell ref="L58:L60"/>
    <mergeCell ref="M94:M96"/>
    <mergeCell ref="N94:N96"/>
    <mergeCell ref="O94:O96"/>
    <mergeCell ref="P94:P95"/>
    <mergeCell ref="Q94:Q95"/>
    <mergeCell ref="R94:R95"/>
    <mergeCell ref="S94:S95"/>
    <mergeCell ref="D89:D93"/>
    <mergeCell ref="E89:E93"/>
    <mergeCell ref="M89:M91"/>
    <mergeCell ref="D94:D98"/>
    <mergeCell ref="E94:E98"/>
    <mergeCell ref="F94:F98"/>
    <mergeCell ref="G94:G98"/>
    <mergeCell ref="H94:H97"/>
    <mergeCell ref="I94:I97"/>
    <mergeCell ref="J94:J97"/>
    <mergeCell ref="K94:K97"/>
    <mergeCell ref="L94:L96"/>
    <mergeCell ref="F89:F93"/>
    <mergeCell ref="G89:G93"/>
    <mergeCell ref="H89:H92"/>
    <mergeCell ref="I89:I92"/>
    <mergeCell ref="J89:J92"/>
    <mergeCell ref="L89:L91"/>
    <mergeCell ref="Q84:Q85"/>
    <mergeCell ref="R84:R85"/>
    <mergeCell ref="S84:S85"/>
    <mergeCell ref="K84:K87"/>
    <mergeCell ref="K79:K82"/>
    <mergeCell ref="N84:N86"/>
    <mergeCell ref="O84:O86"/>
    <mergeCell ref="P84:P85"/>
    <mergeCell ref="S89:S90"/>
    <mergeCell ref="N89:N91"/>
    <mergeCell ref="O89:O91"/>
    <mergeCell ref="P89:P90"/>
    <mergeCell ref="Q89:Q90"/>
    <mergeCell ref="R89:R90"/>
    <mergeCell ref="L84:L86"/>
    <mergeCell ref="N79:N81"/>
    <mergeCell ref="O79:O81"/>
    <mergeCell ref="P79:P80"/>
    <mergeCell ref="Q79:Q80"/>
    <mergeCell ref="R79:R80"/>
    <mergeCell ref="S79:S80"/>
    <mergeCell ref="M84:M86"/>
    <mergeCell ref="W9:W10"/>
    <mergeCell ref="O9:R9"/>
    <mergeCell ref="K9:N9"/>
    <mergeCell ref="T11:U11"/>
    <mergeCell ref="S9:V9"/>
    <mergeCell ref="T10:U10"/>
    <mergeCell ref="D79:D83"/>
    <mergeCell ref="E79:E83"/>
    <mergeCell ref="D84:D88"/>
    <mergeCell ref="E84:E88"/>
    <mergeCell ref="F84:F88"/>
    <mergeCell ref="G84:G88"/>
    <mergeCell ref="H84:H87"/>
    <mergeCell ref="I84:I87"/>
    <mergeCell ref="J84:J87"/>
    <mergeCell ref="F79:F83"/>
    <mergeCell ref="G79:G83"/>
    <mergeCell ref="H79:H82"/>
    <mergeCell ref="I79:I82"/>
    <mergeCell ref="J79:J82"/>
    <mergeCell ref="K13:K16"/>
    <mergeCell ref="G18:G22"/>
    <mergeCell ref="K18:K21"/>
    <mergeCell ref="N28:N30"/>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L10:M10"/>
    <mergeCell ref="P10:Q10"/>
    <mergeCell ref="L11:M11"/>
    <mergeCell ref="P11:Q11"/>
    <mergeCell ref="K28:K31"/>
    <mergeCell ref="L28:L30"/>
    <mergeCell ref="P13:P14"/>
    <mergeCell ref="P28:P29"/>
    <mergeCell ref="Q28:Q29"/>
    <mergeCell ref="P18:P19"/>
    <mergeCell ref="O18:O20"/>
    <mergeCell ref="L13:L15"/>
    <mergeCell ref="M13:M15"/>
    <mergeCell ref="N13:N15"/>
    <mergeCell ref="O13:O15"/>
    <mergeCell ref="Q13:Q14"/>
    <mergeCell ref="P23:P24"/>
    <mergeCell ref="Q23:Q24"/>
    <mergeCell ref="D18:D22"/>
    <mergeCell ref="E18:E22"/>
    <mergeCell ref="F18:F22"/>
    <mergeCell ref="Q18:Q19"/>
    <mergeCell ref="R18:R19"/>
    <mergeCell ref="M28:M30"/>
    <mergeCell ref="R28:R29"/>
    <mergeCell ref="O28:O30"/>
    <mergeCell ref="H18:H21"/>
    <mergeCell ref="I18:I21"/>
    <mergeCell ref="J18:J21"/>
    <mergeCell ref="D28:D32"/>
    <mergeCell ref="E28:E32"/>
    <mergeCell ref="F28:F32"/>
    <mergeCell ref="H28:H31"/>
    <mergeCell ref="I28:I31"/>
    <mergeCell ref="J28:J31"/>
    <mergeCell ref="G28:G32"/>
    <mergeCell ref="L18:L20"/>
    <mergeCell ref="M18:M20"/>
    <mergeCell ref="N18:N20"/>
    <mergeCell ref="D23:D27"/>
    <mergeCell ref="E23:E27"/>
    <mergeCell ref="F23:F27"/>
    <mergeCell ref="D53:D57"/>
    <mergeCell ref="E53:E57"/>
    <mergeCell ref="F53:F57"/>
    <mergeCell ref="H53:H56"/>
    <mergeCell ref="N43:N45"/>
    <mergeCell ref="G38:G42"/>
    <mergeCell ref="K38:K41"/>
    <mergeCell ref="G53:G57"/>
    <mergeCell ref="K53:K56"/>
    <mergeCell ref="N53:N55"/>
    <mergeCell ref="I53:I56"/>
    <mergeCell ref="J53:J56"/>
    <mergeCell ref="L53:L55"/>
    <mergeCell ref="M53:M55"/>
    <mergeCell ref="L43:L45"/>
    <mergeCell ref="M43:M45"/>
    <mergeCell ref="K43:K46"/>
    <mergeCell ref="D43:D47"/>
    <mergeCell ref="I43:I46"/>
    <mergeCell ref="J43:J46"/>
    <mergeCell ref="I38:I41"/>
    <mergeCell ref="J38:J41"/>
    <mergeCell ref="L38:L40"/>
    <mergeCell ref="M38:M40"/>
    <mergeCell ref="D38:D42"/>
    <mergeCell ref="Q33:Q34"/>
    <mergeCell ref="R33:R34"/>
    <mergeCell ref="D48:D52"/>
    <mergeCell ref="E48:E52"/>
    <mergeCell ref="F48:F52"/>
    <mergeCell ref="G48:G52"/>
    <mergeCell ref="H48:H51"/>
    <mergeCell ref="I48:I51"/>
    <mergeCell ref="J48:J51"/>
    <mergeCell ref="K48:K51"/>
    <mergeCell ref="L48:L50"/>
    <mergeCell ref="D33:D37"/>
    <mergeCell ref="E33:E37"/>
    <mergeCell ref="F33:F37"/>
    <mergeCell ref="H33:H36"/>
    <mergeCell ref="I33:I36"/>
    <mergeCell ref="N33:N35"/>
    <mergeCell ref="P43:P44"/>
    <mergeCell ref="O38:O40"/>
    <mergeCell ref="Q43:Q44"/>
    <mergeCell ref="R43:R44"/>
    <mergeCell ref="O43:O45"/>
    <mergeCell ref="J33:J36"/>
    <mergeCell ref="G33:G37"/>
    <mergeCell ref="K33:K36"/>
    <mergeCell ref="S33:S34"/>
    <mergeCell ref="S38:S39"/>
    <mergeCell ref="S43:S44"/>
    <mergeCell ref="O33:O35"/>
    <mergeCell ref="E38:E42"/>
    <mergeCell ref="F38:F42"/>
    <mergeCell ref="H38:H41"/>
    <mergeCell ref="L33:L35"/>
    <mergeCell ref="M33:M35"/>
    <mergeCell ref="P38:P39"/>
    <mergeCell ref="Q38:Q39"/>
    <mergeCell ref="R38:R39"/>
    <mergeCell ref="P33:P34"/>
    <mergeCell ref="S18:S19"/>
    <mergeCell ref="M105:M107"/>
    <mergeCell ref="N105:N107"/>
    <mergeCell ref="O105:O107"/>
    <mergeCell ref="P105:P106"/>
    <mergeCell ref="Q105:Q106"/>
    <mergeCell ref="R105:R106"/>
    <mergeCell ref="S105:S106"/>
    <mergeCell ref="O53:O55"/>
    <mergeCell ref="E77:W77"/>
    <mergeCell ref="E69:W69"/>
    <mergeCell ref="E70:W70"/>
    <mergeCell ref="E71:W71"/>
    <mergeCell ref="E72:W72"/>
    <mergeCell ref="E73:W73"/>
    <mergeCell ref="L79:L81"/>
    <mergeCell ref="M79:M81"/>
    <mergeCell ref="E75:W75"/>
    <mergeCell ref="E76:W76"/>
    <mergeCell ref="K89:K92"/>
    <mergeCell ref="E43:E47"/>
    <mergeCell ref="F43:F47"/>
    <mergeCell ref="H43:H46"/>
    <mergeCell ref="G43:G47"/>
    <mergeCell ref="R13:R14"/>
    <mergeCell ref="S13:S14"/>
    <mergeCell ref="M48:M50"/>
    <mergeCell ref="N48:N50"/>
    <mergeCell ref="O48:O50"/>
    <mergeCell ref="N38:N40"/>
    <mergeCell ref="D105:D109"/>
    <mergeCell ref="E105:E109"/>
    <mergeCell ref="F105:F109"/>
    <mergeCell ref="G105:G109"/>
    <mergeCell ref="H105:H108"/>
    <mergeCell ref="I105:I108"/>
    <mergeCell ref="J105:J108"/>
    <mergeCell ref="K105:K108"/>
    <mergeCell ref="L105:L107"/>
    <mergeCell ref="P53:P54"/>
    <mergeCell ref="Q53:Q54"/>
    <mergeCell ref="R53:R54"/>
    <mergeCell ref="S53:S54"/>
    <mergeCell ref="P48:P49"/>
    <mergeCell ref="Q48:Q49"/>
    <mergeCell ref="R48:R49"/>
    <mergeCell ref="S48:S49"/>
    <mergeCell ref="S28:S29"/>
    <mergeCell ref="S121:S122"/>
    <mergeCell ref="D121:D125"/>
    <mergeCell ref="E121:E125"/>
    <mergeCell ref="F121:F125"/>
    <mergeCell ref="G121:G125"/>
    <mergeCell ref="M110:M112"/>
    <mergeCell ref="N110:N112"/>
    <mergeCell ref="O110:O112"/>
    <mergeCell ref="P110:P111"/>
    <mergeCell ref="Q110:Q111"/>
    <mergeCell ref="R110:R111"/>
    <mergeCell ref="S110:S111"/>
    <mergeCell ref="D110:D114"/>
    <mergeCell ref="E110:E114"/>
    <mergeCell ref="F110:F114"/>
    <mergeCell ref="G110:G114"/>
    <mergeCell ref="H110:H113"/>
    <mergeCell ref="I110:I113"/>
    <mergeCell ref="J110:J113"/>
    <mergeCell ref="K110:K113"/>
    <mergeCell ref="L110:L112"/>
    <mergeCell ref="O121:O123"/>
    <mergeCell ref="M126:M128"/>
    <mergeCell ref="N126:N128"/>
    <mergeCell ref="O126:O128"/>
    <mergeCell ref="P121:P122"/>
    <mergeCell ref="Q121:Q122"/>
    <mergeCell ref="R121:R122"/>
    <mergeCell ref="P126:P127"/>
    <mergeCell ref="Q126:Q127"/>
    <mergeCell ref="R126:R127"/>
    <mergeCell ref="F99:F103"/>
    <mergeCell ref="G99:G103"/>
    <mergeCell ref="H99:H102"/>
    <mergeCell ref="I99:I102"/>
    <mergeCell ref="J99:J102"/>
    <mergeCell ref="K99:K102"/>
    <mergeCell ref="L99:L101"/>
    <mergeCell ref="S126:S127"/>
    <mergeCell ref="D126:D130"/>
    <mergeCell ref="E126:E130"/>
    <mergeCell ref="F126:F130"/>
    <mergeCell ref="G126:G130"/>
    <mergeCell ref="H126:H129"/>
    <mergeCell ref="I126:I129"/>
    <mergeCell ref="J126:J129"/>
    <mergeCell ref="K126:K129"/>
    <mergeCell ref="L126:L128"/>
    <mergeCell ref="H121:H124"/>
    <mergeCell ref="I121:I124"/>
    <mergeCell ref="J121:J124"/>
    <mergeCell ref="K121:K124"/>
    <mergeCell ref="L121:L123"/>
    <mergeCell ref="M121:M123"/>
    <mergeCell ref="N121:N123"/>
    <mergeCell ref="N99:N101"/>
    <mergeCell ref="O99:O101"/>
    <mergeCell ref="P99:P100"/>
    <mergeCell ref="Q99:Q100"/>
    <mergeCell ref="R99:R100"/>
    <mergeCell ref="S99:S100"/>
    <mergeCell ref="D115:D119"/>
    <mergeCell ref="E115:E119"/>
    <mergeCell ref="F115:F119"/>
    <mergeCell ref="G115:G119"/>
    <mergeCell ref="H115:H118"/>
    <mergeCell ref="I115:I118"/>
    <mergeCell ref="J115:J118"/>
    <mergeCell ref="K115:K118"/>
    <mergeCell ref="L115:L117"/>
    <mergeCell ref="M115:M117"/>
    <mergeCell ref="N115:N117"/>
    <mergeCell ref="O115:O117"/>
    <mergeCell ref="P115:P116"/>
    <mergeCell ref="Q115:Q116"/>
    <mergeCell ref="R115:R116"/>
    <mergeCell ref="S115:S116"/>
    <mergeCell ref="D99:D103"/>
    <mergeCell ref="E99:E103"/>
    <mergeCell ref="M131:M133"/>
    <mergeCell ref="N131:N133"/>
    <mergeCell ref="O131:O133"/>
    <mergeCell ref="P131:P132"/>
    <mergeCell ref="Q131:Q132"/>
    <mergeCell ref="R131:R132"/>
    <mergeCell ref="S131:S132"/>
    <mergeCell ref="D131:D135"/>
    <mergeCell ref="E131:E135"/>
    <mergeCell ref="F131:F135"/>
    <mergeCell ref="G131:G135"/>
    <mergeCell ref="H131:H134"/>
    <mergeCell ref="I131:I134"/>
    <mergeCell ref="J131:J134"/>
    <mergeCell ref="K131:K134"/>
    <mergeCell ref="L131:L133"/>
    <mergeCell ref="R23:R24"/>
    <mergeCell ref="S23:S24"/>
    <mergeCell ref="G23:G27"/>
    <mergeCell ref="H23:H26"/>
    <mergeCell ref="I23:I26"/>
    <mergeCell ref="J23:J26"/>
    <mergeCell ref="K23:K26"/>
    <mergeCell ref="L23:L25"/>
    <mergeCell ref="M23:M25"/>
    <mergeCell ref="N23:N25"/>
    <mergeCell ref="O23:O25"/>
  </mergeCells>
  <dataValidations count="5">
    <dataValidation allowBlank="1" showInputMessage="1" showErrorMessage="1" prompt="Для выбора выполните двойной щелчок левой клавиши мыши по соответствующей ячейке." sqref="K38:K39 K13:K14 K48:K49 O48:O49 S48:S49 K18:K19 K43:K44 K28:K29 O38:O39 O18:O19 O43:O44 O28:O29 S38:S39 S18:S19 S43:S44 S28:S29 O13:O14 S13:S14 K33:K34 O33:O34 S33:S34 K79:K80 O79:O80 S79:S80 K84:K85 O84:O85 S84:S85 K94:K95 O94:O95 S94:S95 K89:K90 O89:O90 S53:S54 S89:S90 K53:K54 O53:O54 O131:O132 O105:O106 S105:S106 O110:O111 S110:S111 K105:K106 K110:K111 S99:S100 K126:K127 O126:O127 K121:K122 O121:O122 S126:S127 O115:O116 S121:S122 O58:O59 S58:S59 K58:K59 K63:K64 O63:O64 S63:S64 F79:F103 K99:K100 O99:O100 F105:F119 S115:S116 K115:K116 F121:F135 S131:S132 K131:K132 F13:F67 K23:K24 O23:O24 S23:S24" xr:uid="{00000000-0002-0000-0400-000000000000}"/>
    <dataValidation type="textLength" operator="lessThanOrEqual" allowBlank="1" showInputMessage="1" showErrorMessage="1" errorTitle="Ошибка" error="Допускается ввод не более 900 символов!" sqref="J38:J39 J13:J14 J48:J49 R48:R49 V48:W48 J18:J19 J43:J44 J28:J29 R38:R39 R13:R14 R18:R19 R43:R44 R28:R29 V38:W38 V13:W13 V18:W18 V43:W43 V28:W28 J33:J34 R33:R34 V33:W33 J79:J80 R79:R80 V79:W79 J84:J85 R84:R85 V84:W84 J94:J95 R94:R95 V94:W94 J89:J90 R89:R90 V89:W89 J53:J54 R53:R54 V53:W53 J105:J106 R105:R106 V105:W105 J110:J111 R110:R111 V110:W110 J126:J127 R126:R127 V126:W126 J121:J122 R121:R122 V121:W121 J58:J59 R58:R59 V58:W58 J63:J64 R63:R64 V63:W63 J99:J100 R99:R100 V99:W99 J115:J116 R115:R116 V115:W115 J131:J132 R131:R132 V131:W131 J23:J24 R23:R24 V23:W23" xr:uid="{00000000-0002-0000-0400-000001000000}">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N50 N18:N20 N43:N45 N28:N30 N38:N40 N13:N15 N33:N35 N79:N81 N94:N96 N84:N86 N89:N91 N53:N55 N105:N107 N110:N112 N126:N128 N121:N123 N58:N60 N63:N65 N99:N101 N115:N117 N131:N133 N23:N25" xr:uid="{00000000-0002-0000-0400-000002000000}">
      <formula1>DESCRIPTION_TERRITORY</formula1>
    </dataValidation>
    <dataValidation allowBlank="1" showInputMessage="1" showErrorMessage="1" prompt="Выберите виды деятельности, выполнив двойной щелчок левой кнопки мыши по ячейке." sqref="G105:G119 G121:G135 G79:G103 G13:G67" xr:uid="{00000000-0002-0000-0400-000003000000}"/>
    <dataValidation type="list" allowBlank="1" showInputMessage="1" showErrorMessage="1" errorTitle="Ошибка" error="Выберите значение из списка" prompt="Выберите значение из списка" sqref="E18:E22" xr:uid="{00000000-0002-0000-0400-000004000000}">
      <formula1>kind_of_tariff_RHEAT</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E15A1C-2CF7-A92D-6F1B-BFAF883FC35D}">
  <sheetPr>
    <tabColor rgb="FFCCCCFF"/>
  </sheetPr>
  <dimension ref="A1:BM50"/>
  <sheetViews>
    <sheetView showGridLines="0" zoomScale="90" workbookViewId="0">
      <pane xSplit="10" ySplit="10" topLeftCell="K11" activePane="bottomRight" state="frozen"/>
      <selection pane="topRight" activeCell="K1" sqref="K1"/>
      <selection pane="bottomLeft" activeCell="A11" sqref="A11"/>
      <selection pane="bottomRight"/>
    </sheetView>
  </sheetViews>
  <sheetFormatPr defaultColWidth="9.140625" defaultRowHeight="11.25" customHeight="1"/>
  <cols>
    <col min="1" max="2" width="9.140625" hidden="1"/>
    <col min="3" max="4" width="3" customWidth="1"/>
    <col min="5" max="6" width="15" customWidth="1"/>
    <col min="7" max="7" width="11.5703125" customWidth="1"/>
    <col min="8" max="9" width="3" customWidth="1"/>
    <col min="10" max="10" width="12" customWidth="1"/>
    <col min="11" max="11" width="0.28515625" customWidth="1"/>
    <col min="12" max="13" width="10" customWidth="1"/>
    <col min="14" max="15" width="3" customWidth="1"/>
    <col min="16" max="16" width="19" customWidth="1"/>
    <col min="17" max="17" width="0.28515625" customWidth="1"/>
    <col min="18" max="19" width="10" customWidth="1"/>
    <col min="20" max="21" width="3" customWidth="1"/>
    <col min="22" max="22" width="25" customWidth="1"/>
    <col min="23" max="23" width="0.28515625" customWidth="1"/>
    <col min="24" max="25" width="10" customWidth="1"/>
    <col min="26" max="27" width="3" customWidth="1"/>
    <col min="28" max="28" width="16" customWidth="1"/>
    <col min="29" max="29" width="0.28515625" customWidth="1"/>
    <col min="30" max="31" width="10" customWidth="1"/>
    <col min="32" max="33" width="3" customWidth="1"/>
    <col min="34" max="34" width="8" customWidth="1"/>
    <col min="35" max="35" width="21" customWidth="1"/>
    <col min="36" max="36" width="8" customWidth="1"/>
    <col min="37" max="37" width="8" style="7" customWidth="1"/>
    <col min="38" max="64" width="8" customWidth="1"/>
    <col min="65" max="65" width="9.140625" hidden="1"/>
  </cols>
  <sheetData>
    <row r="1" spans="1:65" s="46" customFormat="1" ht="11.25" hidden="1" customHeight="1">
      <c r="AJ1" s="43"/>
      <c r="AK1" s="43"/>
      <c r="AL1" s="43"/>
      <c r="AM1" s="43"/>
      <c r="AN1" s="43"/>
      <c r="AO1" s="43"/>
      <c r="AP1" s="43"/>
      <c r="AQ1" s="43"/>
      <c r="AR1" s="43"/>
      <c r="AS1" s="43"/>
      <c r="AT1" s="43"/>
      <c r="AU1" s="43"/>
      <c r="AV1" s="43"/>
      <c r="AW1" s="43"/>
      <c r="AX1" s="43"/>
      <c r="AY1" s="43"/>
      <c r="AZ1" s="43"/>
      <c r="BA1" s="43"/>
      <c r="BB1" s="43"/>
      <c r="BC1" s="43"/>
      <c r="BD1" s="43"/>
      <c r="BE1" s="43"/>
      <c r="BF1" s="43"/>
      <c r="BG1" s="43"/>
      <c r="BH1" s="43"/>
      <c r="BI1" s="43"/>
      <c r="BJ1" s="43"/>
      <c r="BK1" s="43"/>
      <c r="BL1" s="43"/>
      <c r="BM1" s="46" t="s">
        <v>14</v>
      </c>
    </row>
    <row r="2" spans="1:65" s="160" customFormat="1" ht="11.25" hidden="1" customHeight="1">
      <c r="L2" s="160" t="s">
        <v>282</v>
      </c>
      <c r="M2" s="160" t="s">
        <v>283</v>
      </c>
      <c r="R2" s="160" t="s">
        <v>284</v>
      </c>
      <c r="S2" s="160" t="s">
        <v>283</v>
      </c>
      <c r="X2" s="160" t="s">
        <v>282</v>
      </c>
      <c r="Y2" s="160" t="s">
        <v>283</v>
      </c>
      <c r="AD2" s="160" t="s">
        <v>282</v>
      </c>
      <c r="AE2" s="160" t="s">
        <v>283</v>
      </c>
      <c r="AJ2" s="167"/>
      <c r="AK2" s="167"/>
      <c r="AL2" s="167"/>
      <c r="AM2" s="167"/>
      <c r="AN2" s="167"/>
      <c r="AO2" s="167"/>
      <c r="AP2" s="167"/>
      <c r="AQ2" s="167"/>
      <c r="AR2" s="167"/>
      <c r="AS2" s="167"/>
      <c r="AT2" s="167"/>
      <c r="AU2" s="167"/>
      <c r="AV2" s="167"/>
      <c r="AW2" s="167"/>
      <c r="AX2" s="167"/>
      <c r="AY2" s="167"/>
      <c r="AZ2" s="167"/>
      <c r="BA2" s="167"/>
      <c r="BB2" s="167"/>
      <c r="BC2" s="167"/>
      <c r="BD2" s="167"/>
      <c r="BE2" s="167"/>
      <c r="BF2" s="167"/>
      <c r="BG2" s="167"/>
      <c r="BH2" s="167"/>
      <c r="BI2" s="167"/>
      <c r="BJ2" s="167"/>
      <c r="BK2" s="167"/>
      <c r="BL2" s="167"/>
      <c r="BM2" s="160">
        <v>0</v>
      </c>
    </row>
    <row r="3" spans="1:65" s="95" customFormat="1" ht="11.45" customHeight="1">
      <c r="AJ3"/>
      <c r="AK3" s="7"/>
      <c r="AL3"/>
      <c r="AM3"/>
      <c r="AN3"/>
      <c r="AO3"/>
      <c r="AP3"/>
      <c r="AQ3"/>
      <c r="AR3"/>
      <c r="AS3"/>
      <c r="AT3"/>
      <c r="AU3"/>
      <c r="AV3"/>
      <c r="AW3"/>
      <c r="AX3"/>
      <c r="AY3"/>
      <c r="AZ3"/>
      <c r="BA3"/>
      <c r="BB3"/>
      <c r="BC3"/>
      <c r="BD3"/>
      <c r="BE3"/>
      <c r="BF3"/>
      <c r="BG3"/>
      <c r="BH3"/>
      <c r="BI3"/>
      <c r="BJ3"/>
      <c r="BK3"/>
      <c r="BL3"/>
      <c r="BM3" s="95">
        <v>11</v>
      </c>
    </row>
    <row r="4" spans="1:65" s="32" customFormat="1" ht="34.5" customHeight="1">
      <c r="A4" s="7"/>
      <c r="B4" s="4"/>
      <c r="C4" s="16"/>
      <c r="D4" s="697" t="s">
        <v>285</v>
      </c>
      <c r="E4" s="697"/>
      <c r="F4" s="697"/>
      <c r="G4" s="697"/>
      <c r="H4" s="697"/>
      <c r="I4" s="697"/>
      <c r="J4" s="697"/>
      <c r="K4" s="40"/>
      <c r="AJ4" s="503"/>
      <c r="AK4" s="504"/>
      <c r="AL4" s="503"/>
      <c r="AM4" s="503"/>
      <c r="AN4" s="503"/>
      <c r="AO4" s="503"/>
      <c r="AP4" s="503"/>
      <c r="AQ4" s="503"/>
      <c r="AR4" s="503"/>
      <c r="AS4" s="503"/>
      <c r="AT4" s="503"/>
      <c r="AU4" s="503"/>
      <c r="AV4" s="503"/>
      <c r="AW4" s="503"/>
      <c r="AX4" s="503"/>
      <c r="AY4" s="503"/>
      <c r="AZ4" s="503"/>
      <c r="BA4" s="503"/>
      <c r="BB4" s="503"/>
      <c r="BC4" s="503"/>
      <c r="BD4" s="503"/>
      <c r="BE4" s="503"/>
      <c r="BF4" s="503"/>
      <c r="BG4" s="503"/>
      <c r="BH4" s="503"/>
      <c r="BI4" s="503"/>
      <c r="BJ4" s="503"/>
      <c r="BK4" s="503"/>
      <c r="BL4" s="503"/>
      <c r="BM4" s="32">
        <v>33</v>
      </c>
    </row>
    <row r="5" spans="1:65" s="32" customFormat="1" ht="14.65" customHeight="1">
      <c r="A5" s="7"/>
      <c r="B5" s="4"/>
      <c r="C5" s="16"/>
      <c r="D5" s="712" t="str">
        <f>IF(org=0,"Не определено",org)</f>
        <v>ООО "Восточная Тепловая компания"</v>
      </c>
      <c r="E5" s="712"/>
      <c r="F5" s="712"/>
      <c r="G5" s="712"/>
      <c r="H5" s="712"/>
      <c r="I5" s="712"/>
      <c r="J5" s="712"/>
      <c r="K5" s="40"/>
      <c r="AJ5" s="503"/>
      <c r="AK5" s="504"/>
      <c r="AL5" s="503"/>
      <c r="AM5" s="503"/>
      <c r="AN5" s="503"/>
      <c r="AO5" s="503"/>
      <c r="AP5" s="503"/>
      <c r="AQ5" s="503"/>
      <c r="AR5" s="503"/>
      <c r="AS5" s="503"/>
      <c r="AT5" s="503"/>
      <c r="AU5" s="503"/>
      <c r="AV5" s="503"/>
      <c r="AW5" s="503"/>
      <c r="AX5" s="503"/>
      <c r="AY5" s="503"/>
      <c r="AZ5" s="503"/>
      <c r="BA5" s="503"/>
      <c r="BB5" s="503"/>
      <c r="BC5" s="503"/>
      <c r="BD5" s="503"/>
      <c r="BE5" s="503"/>
      <c r="BF5" s="503"/>
      <c r="BG5" s="503"/>
      <c r="BH5" s="503"/>
      <c r="BI5" s="503"/>
      <c r="BJ5" s="503"/>
      <c r="BK5" s="503"/>
      <c r="BL5" s="503"/>
      <c r="BM5" s="32">
        <v>14</v>
      </c>
    </row>
    <row r="6" spans="1:65" s="32" customFormat="1" ht="14.65" customHeight="1">
      <c r="A6" s="7"/>
      <c r="B6" s="4"/>
      <c r="C6" s="16"/>
      <c r="D6" s="40"/>
      <c r="E6" s="40"/>
      <c r="F6" s="40"/>
      <c r="G6" s="40"/>
      <c r="H6" s="40"/>
      <c r="I6" s="40"/>
      <c r="J6" s="40"/>
      <c r="K6" s="40"/>
      <c r="AJ6" s="503"/>
      <c r="AK6" s="504"/>
      <c r="AL6" s="503"/>
      <c r="AM6" s="503"/>
      <c r="AN6" s="503"/>
      <c r="AO6" s="503"/>
      <c r="AP6" s="503"/>
      <c r="AQ6" s="503"/>
      <c r="AR6" s="503"/>
      <c r="AS6" s="503"/>
      <c r="AT6" s="503"/>
      <c r="AU6" s="503"/>
      <c r="AV6" s="503"/>
      <c r="AW6" s="503"/>
      <c r="AX6" s="503"/>
      <c r="AY6" s="503"/>
      <c r="AZ6" s="503"/>
      <c r="BA6" s="503"/>
      <c r="BB6" s="503"/>
      <c r="BC6" s="503"/>
      <c r="BD6" s="503"/>
      <c r="BE6" s="503"/>
      <c r="BF6" s="503"/>
      <c r="BG6" s="503"/>
      <c r="BH6" s="503"/>
      <c r="BI6" s="503"/>
      <c r="BJ6" s="503"/>
      <c r="BK6" s="503"/>
      <c r="BL6" s="503"/>
      <c r="BM6" s="32">
        <v>14</v>
      </c>
    </row>
    <row r="7" spans="1:65" s="46" customFormat="1" ht="1.1499999999999999" customHeight="1">
      <c r="AJ7" s="43"/>
      <c r="AK7" s="43"/>
      <c r="AL7" s="43"/>
      <c r="AM7" s="43"/>
      <c r="AN7" s="43"/>
      <c r="AO7" s="43"/>
      <c r="AP7" s="43"/>
      <c r="AQ7" s="43"/>
      <c r="AR7" s="43"/>
      <c r="AS7" s="43"/>
      <c r="AT7" s="43"/>
      <c r="AU7" s="43"/>
      <c r="AV7" s="43"/>
      <c r="AW7" s="43"/>
      <c r="AX7" s="43"/>
      <c r="AY7" s="43"/>
      <c r="AZ7" s="43"/>
      <c r="BA7" s="43"/>
      <c r="BB7" s="43"/>
      <c r="BC7" s="43"/>
      <c r="BD7" s="43"/>
      <c r="BE7" s="43"/>
      <c r="BF7" s="43"/>
      <c r="BG7" s="43"/>
      <c r="BH7" s="43"/>
      <c r="BI7" s="43"/>
      <c r="BJ7" s="43"/>
      <c r="BK7" s="43"/>
      <c r="BL7" s="43"/>
      <c r="BM7" s="46">
        <v>1</v>
      </c>
    </row>
    <row r="8" spans="1:65" ht="33.75" customHeight="1">
      <c r="D8" s="679" t="s">
        <v>88</v>
      </c>
      <c r="E8" s="679" t="s">
        <v>106</v>
      </c>
      <c r="F8" s="674" t="s">
        <v>127</v>
      </c>
      <c r="G8" s="672"/>
      <c r="H8" s="674" t="s">
        <v>88</v>
      </c>
      <c r="I8" s="672"/>
      <c r="J8" s="679" t="s">
        <v>128</v>
      </c>
      <c r="K8" s="349"/>
      <c r="L8" s="673" t="s">
        <v>286</v>
      </c>
      <c r="M8" s="673"/>
      <c r="N8" s="673"/>
      <c r="O8" s="673"/>
      <c r="P8" s="673"/>
      <c r="Q8" s="495"/>
      <c r="R8" s="662" t="s">
        <v>287</v>
      </c>
      <c r="S8" s="666"/>
      <c r="T8" s="666"/>
      <c r="U8" s="666"/>
      <c r="V8" s="666"/>
      <c r="W8" s="495"/>
      <c r="X8" s="679" t="s">
        <v>288</v>
      </c>
      <c r="Y8" s="679"/>
      <c r="Z8" s="679"/>
      <c r="AA8" s="679"/>
      <c r="AB8" s="679"/>
      <c r="AC8" s="100"/>
      <c r="AD8" s="679" t="s">
        <v>289</v>
      </c>
      <c r="AE8" s="679"/>
      <c r="AF8" s="679"/>
      <c r="AG8" s="679"/>
      <c r="AH8" s="662"/>
      <c r="AI8" s="679" t="s">
        <v>290</v>
      </c>
      <c r="BM8">
        <v>32</v>
      </c>
    </row>
    <row r="9" spans="1:65" ht="23.25" customHeight="1">
      <c r="D9" s="679"/>
      <c r="E9" s="679"/>
      <c r="F9" s="673" t="s">
        <v>89</v>
      </c>
      <c r="G9" s="673" t="s">
        <v>133</v>
      </c>
      <c r="H9" s="713"/>
      <c r="I9" s="714"/>
      <c r="J9" s="662"/>
      <c r="K9" s="417"/>
      <c r="L9" s="679" t="s">
        <v>291</v>
      </c>
      <c r="M9" s="662"/>
      <c r="N9" s="674" t="s">
        <v>88</v>
      </c>
      <c r="O9" s="672"/>
      <c r="P9" s="679" t="s">
        <v>134</v>
      </c>
      <c r="Q9" s="349"/>
      <c r="R9" s="679" t="s">
        <v>291</v>
      </c>
      <c r="S9" s="662"/>
      <c r="T9" s="674" t="s">
        <v>88</v>
      </c>
      <c r="U9" s="672"/>
      <c r="V9" s="679" t="s">
        <v>134</v>
      </c>
      <c r="W9" s="349"/>
      <c r="X9" s="679" t="s">
        <v>291</v>
      </c>
      <c r="Y9" s="662"/>
      <c r="Z9" s="674" t="s">
        <v>88</v>
      </c>
      <c r="AA9" s="672"/>
      <c r="AB9" s="679" t="s">
        <v>292</v>
      </c>
      <c r="AC9" s="349"/>
      <c r="AD9" s="679" t="s">
        <v>291</v>
      </c>
      <c r="AE9" s="662"/>
      <c r="AF9" s="674" t="s">
        <v>88</v>
      </c>
      <c r="AG9" s="672"/>
      <c r="AH9" s="662" t="s">
        <v>292</v>
      </c>
      <c r="AI9" s="679"/>
      <c r="BM9">
        <v>22</v>
      </c>
    </row>
    <row r="10" spans="1:65" ht="24" customHeight="1">
      <c r="D10" s="673"/>
      <c r="E10" s="673"/>
      <c r="F10" s="705"/>
      <c r="G10" s="705"/>
      <c r="H10" s="677"/>
      <c r="I10" s="675"/>
      <c r="J10" s="674"/>
      <c r="K10" s="417"/>
      <c r="L10" s="100" t="s">
        <v>293</v>
      </c>
      <c r="M10" s="495" t="s">
        <v>294</v>
      </c>
      <c r="N10" s="713"/>
      <c r="O10" s="714"/>
      <c r="P10" s="673"/>
      <c r="Q10" s="349"/>
      <c r="R10" s="100" t="s">
        <v>293</v>
      </c>
      <c r="S10" s="495" t="s">
        <v>294</v>
      </c>
      <c r="T10" s="713"/>
      <c r="U10" s="714"/>
      <c r="V10" s="673"/>
      <c r="W10" s="349"/>
      <c r="X10" s="100" t="s">
        <v>293</v>
      </c>
      <c r="Y10" s="495" t="s">
        <v>294</v>
      </c>
      <c r="Z10" s="713"/>
      <c r="AA10" s="714"/>
      <c r="AB10" s="673"/>
      <c r="AC10" s="349"/>
      <c r="AD10" s="100" t="s">
        <v>293</v>
      </c>
      <c r="AE10" s="495" t="s">
        <v>294</v>
      </c>
      <c r="AF10" s="713"/>
      <c r="AG10" s="714"/>
      <c r="AH10" s="674"/>
      <c r="AI10" s="673"/>
      <c r="AK10" s="4" t="s">
        <v>295</v>
      </c>
      <c r="AL10" s="4" t="s">
        <v>135</v>
      </c>
      <c r="BM10">
        <v>23</v>
      </c>
    </row>
    <row r="11" spans="1:65" ht="15" customHeight="1">
      <c r="D11" s="679" t="s">
        <v>110</v>
      </c>
      <c r="E11" s="679" t="s">
        <v>296</v>
      </c>
      <c r="F11" s="679" t="s">
        <v>297</v>
      </c>
      <c r="G11" s="686" t="s">
        <v>19</v>
      </c>
      <c r="H11" s="507"/>
      <c r="I11" s="697"/>
      <c r="J11" s="697"/>
      <c r="K11" s="470"/>
      <c r="L11" s="697"/>
      <c r="M11" s="697"/>
      <c r="N11" s="470"/>
      <c r="O11" s="697"/>
      <c r="P11" s="697"/>
      <c r="Q11" s="470"/>
      <c r="R11" s="697"/>
      <c r="S11" s="697"/>
      <c r="T11" s="505"/>
      <c r="U11" s="697"/>
      <c r="V11" s="697"/>
      <c r="W11" s="470"/>
      <c r="X11" s="697"/>
      <c r="Y11" s="697"/>
      <c r="Z11" s="470"/>
      <c r="AA11" s="697"/>
      <c r="AB11" s="697"/>
      <c r="AC11" s="128"/>
      <c r="AD11" s="697"/>
      <c r="AE11" s="697"/>
      <c r="AF11" s="470"/>
      <c r="AG11" s="470"/>
      <c r="AH11" s="470"/>
      <c r="AI11" s="438"/>
      <c r="BM11">
        <v>14</v>
      </c>
    </row>
    <row r="12" spans="1:65" ht="14.65" customHeight="1">
      <c r="D12" s="679"/>
      <c r="E12" s="679"/>
      <c r="F12" s="679"/>
      <c r="G12" s="689"/>
      <c r="H12" s="508"/>
      <c r="I12" s="665"/>
      <c r="J12" s="665"/>
      <c r="K12" s="4"/>
      <c r="L12" s="665"/>
      <c r="M12" s="665"/>
      <c r="N12" s="23"/>
      <c r="O12" s="665"/>
      <c r="P12" s="665"/>
      <c r="Q12" s="23"/>
      <c r="R12" s="665"/>
      <c r="S12" s="665"/>
      <c r="T12" s="33"/>
      <c r="U12" s="665"/>
      <c r="V12" s="665"/>
      <c r="W12" s="23"/>
      <c r="X12" s="665"/>
      <c r="Y12" s="665"/>
      <c r="Z12" s="23"/>
      <c r="AA12" s="665"/>
      <c r="AB12" s="665"/>
      <c r="AC12" s="4"/>
      <c r="AD12" s="665"/>
      <c r="AE12" s="665"/>
      <c r="AF12" s="439"/>
      <c r="AG12" s="439"/>
      <c r="AH12" s="717"/>
      <c r="AI12" s="718"/>
      <c r="BM12">
        <v>14</v>
      </c>
    </row>
    <row r="13" spans="1:65" ht="14.65" customHeight="1">
      <c r="D13" s="679"/>
      <c r="E13" s="679"/>
      <c r="F13" s="679"/>
      <c r="G13" s="689"/>
      <c r="H13" s="508"/>
      <c r="I13" s="665"/>
      <c r="J13" s="665"/>
      <c r="K13" s="4"/>
      <c r="L13" s="665"/>
      <c r="M13" s="665"/>
      <c r="N13" s="23"/>
      <c r="O13" s="665"/>
      <c r="P13" s="665"/>
      <c r="Q13" s="23"/>
      <c r="R13" s="665"/>
      <c r="S13" s="665"/>
      <c r="T13" s="33"/>
      <c r="U13" s="665"/>
      <c r="V13" s="665"/>
      <c r="W13" s="23"/>
      <c r="X13" s="665"/>
      <c r="Y13" s="665"/>
      <c r="Z13" s="23"/>
      <c r="AA13" s="439"/>
      <c r="AB13" s="717"/>
      <c r="AC13" s="717"/>
      <c r="AD13" s="717"/>
      <c r="AE13" s="717"/>
      <c r="AF13" s="717"/>
      <c r="AG13" s="717"/>
      <c r="AH13" s="717"/>
      <c r="AI13" s="718"/>
      <c r="BM13">
        <v>14</v>
      </c>
    </row>
    <row r="14" spans="1:65" ht="14.65" customHeight="1">
      <c r="D14" s="679"/>
      <c r="E14" s="679"/>
      <c r="F14" s="679"/>
      <c r="G14" s="689"/>
      <c r="H14" s="508"/>
      <c r="I14" s="665"/>
      <c r="J14" s="665"/>
      <c r="K14" s="4"/>
      <c r="L14" s="665"/>
      <c r="M14" s="665"/>
      <c r="N14" s="23"/>
      <c r="O14" s="665"/>
      <c r="P14" s="665"/>
      <c r="Q14" s="23"/>
      <c r="R14" s="665"/>
      <c r="S14" s="665"/>
      <c r="T14" s="33"/>
      <c r="U14" s="439"/>
      <c r="V14" s="717"/>
      <c r="W14" s="717"/>
      <c r="X14" s="717"/>
      <c r="Y14" s="717"/>
      <c r="Z14" s="717"/>
      <c r="AA14" s="717"/>
      <c r="AB14" s="717"/>
      <c r="AC14" s="717"/>
      <c r="AD14" s="717"/>
      <c r="AE14" s="717"/>
      <c r="AF14" s="717"/>
      <c r="AG14" s="717"/>
      <c r="AH14" s="717"/>
      <c r="AI14" s="718"/>
      <c r="BM14">
        <v>14</v>
      </c>
    </row>
    <row r="15" spans="1:65" ht="11.45" customHeight="1">
      <c r="D15" s="679"/>
      <c r="E15" s="679"/>
      <c r="F15" s="679"/>
      <c r="G15" s="689"/>
      <c r="H15" s="509"/>
      <c r="I15" s="665"/>
      <c r="J15" s="665"/>
      <c r="K15" s="4"/>
      <c r="L15" s="665"/>
      <c r="M15" s="665"/>
      <c r="N15" s="439"/>
      <c r="O15" s="439"/>
      <c r="P15" s="717"/>
      <c r="Q15" s="717"/>
      <c r="R15" s="717"/>
      <c r="S15" s="717"/>
      <c r="T15" s="717"/>
      <c r="U15" s="717"/>
      <c r="V15" s="717"/>
      <c r="W15" s="717"/>
      <c r="X15" s="717"/>
      <c r="Y15" s="717"/>
      <c r="Z15" s="717"/>
      <c r="AA15" s="717"/>
      <c r="AB15" s="717"/>
      <c r="AC15" s="717"/>
      <c r="AD15" s="717"/>
      <c r="AE15" s="717"/>
      <c r="AF15" s="717"/>
      <c r="AG15" s="717"/>
      <c r="AH15" s="717"/>
      <c r="AI15" s="718"/>
      <c r="BM15">
        <v>11</v>
      </c>
    </row>
    <row r="16" spans="1:65" s="95" customFormat="1" ht="11.45" customHeight="1">
      <c r="D16" s="673"/>
      <c r="E16" s="673"/>
      <c r="F16" s="674"/>
      <c r="G16" s="687"/>
      <c r="H16" s="506"/>
      <c r="I16" s="510"/>
      <c r="J16" s="715"/>
      <c r="K16" s="715"/>
      <c r="L16" s="715"/>
      <c r="M16" s="715"/>
      <c r="N16" s="715"/>
      <c r="O16" s="715"/>
      <c r="P16" s="715"/>
      <c r="Q16" s="715"/>
      <c r="R16" s="715"/>
      <c r="S16" s="715"/>
      <c r="T16" s="715"/>
      <c r="U16" s="715"/>
      <c r="V16" s="715"/>
      <c r="W16" s="715"/>
      <c r="X16" s="715"/>
      <c r="Y16" s="715"/>
      <c r="Z16" s="715"/>
      <c r="AA16" s="715"/>
      <c r="AB16" s="715"/>
      <c r="AC16" s="715"/>
      <c r="AD16" s="715"/>
      <c r="AE16" s="715"/>
      <c r="AF16" s="715"/>
      <c r="AG16" s="715"/>
      <c r="AH16" s="715"/>
      <c r="AI16" s="716"/>
      <c r="AJ16"/>
      <c r="AK16" s="7"/>
      <c r="AL16"/>
      <c r="AM16"/>
      <c r="AN16"/>
      <c r="AO16"/>
      <c r="AP16"/>
      <c r="AQ16"/>
      <c r="AR16"/>
      <c r="AS16"/>
      <c r="AT16"/>
      <c r="AU16"/>
      <c r="AV16"/>
      <c r="AW16"/>
      <c r="AX16"/>
      <c r="AY16"/>
      <c r="AZ16"/>
      <c r="BA16"/>
      <c r="BB16"/>
      <c r="BC16"/>
      <c r="BD16"/>
      <c r="BE16"/>
      <c r="BF16"/>
      <c r="BG16"/>
      <c r="BH16"/>
      <c r="BI16"/>
      <c r="BJ16"/>
      <c r="BK16"/>
      <c r="BL16"/>
      <c r="BM16" s="95">
        <v>11</v>
      </c>
    </row>
    <row r="17" spans="4:65" ht="15" customHeight="1">
      <c r="D17" s="679" t="s">
        <v>111</v>
      </c>
      <c r="E17" s="679" t="s">
        <v>296</v>
      </c>
      <c r="F17" s="679" t="s">
        <v>298</v>
      </c>
      <c r="G17" s="686" t="s">
        <v>19</v>
      </c>
      <c r="H17" s="507"/>
      <c r="I17" s="697"/>
      <c r="J17" s="697"/>
      <c r="K17" s="470"/>
      <c r="L17" s="697"/>
      <c r="M17" s="697"/>
      <c r="N17" s="470"/>
      <c r="O17" s="697"/>
      <c r="P17" s="697"/>
      <c r="Q17" s="470"/>
      <c r="R17" s="697"/>
      <c r="S17" s="697"/>
      <c r="T17" s="505"/>
      <c r="U17" s="697"/>
      <c r="V17" s="697"/>
      <c r="W17" s="470"/>
      <c r="X17" s="697"/>
      <c r="Y17" s="697"/>
      <c r="Z17" s="470"/>
      <c r="AA17" s="697"/>
      <c r="AB17" s="697"/>
      <c r="AC17" s="128"/>
      <c r="AD17" s="697"/>
      <c r="AE17" s="697"/>
      <c r="AF17" s="470"/>
      <c r="AG17" s="470"/>
      <c r="AH17" s="470"/>
      <c r="AI17" s="438"/>
      <c r="BM17">
        <v>14</v>
      </c>
    </row>
    <row r="18" spans="4:65" ht="14.65" customHeight="1">
      <c r="D18" s="679"/>
      <c r="E18" s="679"/>
      <c r="F18" s="679"/>
      <c r="G18" s="689"/>
      <c r="H18" s="508"/>
      <c r="I18" s="665"/>
      <c r="J18" s="665"/>
      <c r="K18" s="4"/>
      <c r="L18" s="665"/>
      <c r="M18" s="665"/>
      <c r="N18" s="23"/>
      <c r="O18" s="665"/>
      <c r="P18" s="665"/>
      <c r="Q18" s="23"/>
      <c r="R18" s="665"/>
      <c r="S18" s="665"/>
      <c r="T18" s="33"/>
      <c r="U18" s="665"/>
      <c r="V18" s="665"/>
      <c r="W18" s="23"/>
      <c r="X18" s="665"/>
      <c r="Y18" s="665"/>
      <c r="Z18" s="23"/>
      <c r="AA18" s="665"/>
      <c r="AB18" s="665"/>
      <c r="AC18" s="4"/>
      <c r="AD18" s="665"/>
      <c r="AE18" s="665"/>
      <c r="AF18" s="439"/>
      <c r="AG18" s="439"/>
      <c r="AH18" s="717"/>
      <c r="AI18" s="718"/>
      <c r="BM18">
        <v>14</v>
      </c>
    </row>
    <row r="19" spans="4:65" ht="14.65" customHeight="1">
      <c r="D19" s="679"/>
      <c r="E19" s="679"/>
      <c r="F19" s="679"/>
      <c r="G19" s="689"/>
      <c r="H19" s="508"/>
      <c r="I19" s="665"/>
      <c r="J19" s="665"/>
      <c r="K19" s="4"/>
      <c r="L19" s="665"/>
      <c r="M19" s="665"/>
      <c r="N19" s="23"/>
      <c r="O19" s="665"/>
      <c r="P19" s="665"/>
      <c r="Q19" s="23"/>
      <c r="R19" s="665"/>
      <c r="S19" s="665"/>
      <c r="T19" s="33"/>
      <c r="U19" s="665"/>
      <c r="V19" s="665"/>
      <c r="W19" s="23"/>
      <c r="X19" s="665"/>
      <c r="Y19" s="665"/>
      <c r="Z19" s="23"/>
      <c r="AA19" s="439"/>
      <c r="AB19" s="717"/>
      <c r="AC19" s="717"/>
      <c r="AD19" s="717"/>
      <c r="AE19" s="717"/>
      <c r="AF19" s="717"/>
      <c r="AG19" s="717"/>
      <c r="AH19" s="717"/>
      <c r="AI19" s="718"/>
      <c r="BM19">
        <v>14</v>
      </c>
    </row>
    <row r="20" spans="4:65" ht="14.65" customHeight="1">
      <c r="D20" s="679"/>
      <c r="E20" s="679"/>
      <c r="F20" s="679"/>
      <c r="G20" s="689"/>
      <c r="H20" s="508"/>
      <c r="I20" s="665"/>
      <c r="J20" s="665"/>
      <c r="K20" s="4"/>
      <c r="L20" s="665"/>
      <c r="M20" s="665"/>
      <c r="N20" s="23"/>
      <c r="O20" s="665"/>
      <c r="P20" s="665"/>
      <c r="Q20" s="23"/>
      <c r="R20" s="665"/>
      <c r="S20" s="665"/>
      <c r="T20" s="33"/>
      <c r="U20" s="439"/>
      <c r="V20" s="717"/>
      <c r="W20" s="717"/>
      <c r="X20" s="717"/>
      <c r="Y20" s="717"/>
      <c r="Z20" s="717"/>
      <c r="AA20" s="717"/>
      <c r="AB20" s="717"/>
      <c r="AC20" s="717"/>
      <c r="AD20" s="717"/>
      <c r="AE20" s="717"/>
      <c r="AF20" s="717"/>
      <c r="AG20" s="717"/>
      <c r="AH20" s="717"/>
      <c r="AI20" s="718"/>
      <c r="BM20">
        <v>14</v>
      </c>
    </row>
    <row r="21" spans="4:65" ht="11.45" customHeight="1">
      <c r="D21" s="679"/>
      <c r="E21" s="679"/>
      <c r="F21" s="679"/>
      <c r="G21" s="689"/>
      <c r="H21" s="509"/>
      <c r="I21" s="665"/>
      <c r="J21" s="665"/>
      <c r="K21" s="4"/>
      <c r="L21" s="665"/>
      <c r="M21" s="665"/>
      <c r="N21" s="439"/>
      <c r="O21" s="439"/>
      <c r="P21" s="717"/>
      <c r="Q21" s="717"/>
      <c r="R21" s="717"/>
      <c r="S21" s="717"/>
      <c r="T21" s="717"/>
      <c r="U21" s="717"/>
      <c r="V21" s="717"/>
      <c r="W21" s="717"/>
      <c r="X21" s="717"/>
      <c r="Y21" s="717"/>
      <c r="Z21" s="717"/>
      <c r="AA21" s="717"/>
      <c r="AB21" s="717"/>
      <c r="AC21" s="717"/>
      <c r="AD21" s="717"/>
      <c r="AE21" s="717"/>
      <c r="AF21" s="717"/>
      <c r="AG21" s="717"/>
      <c r="AH21" s="717"/>
      <c r="AI21" s="718"/>
      <c r="BM21">
        <v>11</v>
      </c>
    </row>
    <row r="22" spans="4:65" s="95" customFormat="1" ht="11.45" customHeight="1">
      <c r="D22" s="673"/>
      <c r="E22" s="673"/>
      <c r="F22" s="674"/>
      <c r="G22" s="687"/>
      <c r="H22" s="506"/>
      <c r="I22" s="510"/>
      <c r="J22" s="715"/>
      <c r="K22" s="715"/>
      <c r="L22" s="715"/>
      <c r="M22" s="715"/>
      <c r="N22" s="715"/>
      <c r="O22" s="715"/>
      <c r="P22" s="715"/>
      <c r="Q22" s="715"/>
      <c r="R22" s="715"/>
      <c r="S22" s="715"/>
      <c r="T22" s="715"/>
      <c r="U22" s="715"/>
      <c r="V22" s="715"/>
      <c r="W22" s="715"/>
      <c r="X22" s="715"/>
      <c r="Y22" s="715"/>
      <c r="Z22" s="715"/>
      <c r="AA22" s="715"/>
      <c r="AB22" s="715"/>
      <c r="AC22" s="715"/>
      <c r="AD22" s="715"/>
      <c r="AE22" s="715"/>
      <c r="AF22" s="715"/>
      <c r="AG22" s="715"/>
      <c r="AH22" s="715"/>
      <c r="AI22" s="716"/>
      <c r="AJ22"/>
      <c r="AK22" s="7"/>
      <c r="AL22"/>
      <c r="AM22"/>
      <c r="AN22"/>
      <c r="AO22"/>
      <c r="AP22"/>
      <c r="AQ22"/>
      <c r="AR22"/>
      <c r="AS22"/>
      <c r="AT22"/>
      <c r="AU22"/>
      <c r="AV22"/>
      <c r="AW22"/>
      <c r="AX22"/>
      <c r="AY22"/>
      <c r="AZ22"/>
      <c r="BA22"/>
      <c r="BB22"/>
      <c r="BC22"/>
      <c r="BD22"/>
      <c r="BE22"/>
      <c r="BF22"/>
      <c r="BG22"/>
      <c r="BH22"/>
      <c r="BI22"/>
      <c r="BJ22"/>
      <c r="BK22"/>
      <c r="BL22"/>
      <c r="BM22" s="95">
        <v>11</v>
      </c>
    </row>
    <row r="23" spans="4:65" ht="15" customHeight="1">
      <c r="D23" s="679" t="s">
        <v>90</v>
      </c>
      <c r="E23" s="679" t="s">
        <v>296</v>
      </c>
      <c r="F23" s="679" t="s">
        <v>299</v>
      </c>
      <c r="G23" s="686" t="s">
        <v>19</v>
      </c>
      <c r="H23" s="507"/>
      <c r="I23" s="697"/>
      <c r="J23" s="697"/>
      <c r="K23" s="470"/>
      <c r="L23" s="697"/>
      <c r="M23" s="697"/>
      <c r="N23" s="470"/>
      <c r="O23" s="697"/>
      <c r="P23" s="697"/>
      <c r="Q23" s="470"/>
      <c r="R23" s="697"/>
      <c r="S23" s="697"/>
      <c r="T23" s="505"/>
      <c r="U23" s="697"/>
      <c r="V23" s="697"/>
      <c r="W23" s="470"/>
      <c r="X23" s="697"/>
      <c r="Y23" s="697"/>
      <c r="Z23" s="470"/>
      <c r="AA23" s="697"/>
      <c r="AB23" s="697"/>
      <c r="AC23" s="128"/>
      <c r="AD23" s="697"/>
      <c r="AE23" s="697"/>
      <c r="AF23" s="470"/>
      <c r="AG23" s="470"/>
      <c r="AH23" s="470"/>
      <c r="AI23" s="438"/>
      <c r="AK23" s="7" t="s">
        <v>98</v>
      </c>
      <c r="BM23">
        <v>14</v>
      </c>
    </row>
    <row r="24" spans="4:65" ht="14.65" customHeight="1">
      <c r="D24" s="679"/>
      <c r="E24" s="679"/>
      <c r="F24" s="679"/>
      <c r="G24" s="689"/>
      <c r="H24" s="508"/>
      <c r="I24" s="665"/>
      <c r="J24" s="665"/>
      <c r="K24" s="4"/>
      <c r="L24" s="665"/>
      <c r="M24" s="665"/>
      <c r="N24" s="23"/>
      <c r="O24" s="665"/>
      <c r="P24" s="665"/>
      <c r="Q24" s="23"/>
      <c r="R24" s="665"/>
      <c r="S24" s="665"/>
      <c r="T24" s="33"/>
      <c r="U24" s="665"/>
      <c r="V24" s="665"/>
      <c r="W24" s="23"/>
      <c r="X24" s="665"/>
      <c r="Y24" s="665"/>
      <c r="Z24" s="23"/>
      <c r="AA24" s="665"/>
      <c r="AB24" s="665"/>
      <c r="AC24" s="4"/>
      <c r="AD24" s="665"/>
      <c r="AE24" s="665"/>
      <c r="AF24" s="439"/>
      <c r="AG24" s="439"/>
      <c r="AH24" s="717"/>
      <c r="AI24" s="718"/>
      <c r="BM24">
        <v>14</v>
      </c>
    </row>
    <row r="25" spans="4:65" ht="14.65" customHeight="1">
      <c r="D25" s="679"/>
      <c r="E25" s="679"/>
      <c r="F25" s="679"/>
      <c r="G25" s="689"/>
      <c r="H25" s="508"/>
      <c r="I25" s="665"/>
      <c r="J25" s="665"/>
      <c r="K25" s="4"/>
      <c r="L25" s="665"/>
      <c r="M25" s="665"/>
      <c r="N25" s="23"/>
      <c r="O25" s="665"/>
      <c r="P25" s="665"/>
      <c r="Q25" s="23"/>
      <c r="R25" s="665"/>
      <c r="S25" s="665"/>
      <c r="T25" s="33"/>
      <c r="U25" s="665"/>
      <c r="V25" s="665"/>
      <c r="W25" s="23"/>
      <c r="X25" s="665"/>
      <c r="Y25" s="665"/>
      <c r="Z25" s="23"/>
      <c r="AA25" s="439"/>
      <c r="AB25" s="717"/>
      <c r="AC25" s="717"/>
      <c r="AD25" s="717"/>
      <c r="AE25" s="717"/>
      <c r="AF25" s="717"/>
      <c r="AG25" s="717"/>
      <c r="AH25" s="717"/>
      <c r="AI25" s="718"/>
      <c r="BM25">
        <v>14</v>
      </c>
    </row>
    <row r="26" spans="4:65" ht="14.65" customHeight="1">
      <c r="D26" s="679"/>
      <c r="E26" s="679"/>
      <c r="F26" s="679"/>
      <c r="G26" s="689"/>
      <c r="H26" s="508"/>
      <c r="I26" s="665"/>
      <c r="J26" s="665"/>
      <c r="K26" s="4"/>
      <c r="L26" s="665"/>
      <c r="M26" s="665"/>
      <c r="N26" s="23"/>
      <c r="O26" s="665"/>
      <c r="P26" s="665"/>
      <c r="Q26" s="23"/>
      <c r="R26" s="665"/>
      <c r="S26" s="665"/>
      <c r="T26" s="33"/>
      <c r="U26" s="439"/>
      <c r="V26" s="717"/>
      <c r="W26" s="717"/>
      <c r="X26" s="717"/>
      <c r="Y26" s="717"/>
      <c r="Z26" s="717"/>
      <c r="AA26" s="717"/>
      <c r="AB26" s="717"/>
      <c r="AC26" s="717"/>
      <c r="AD26" s="717"/>
      <c r="AE26" s="717"/>
      <c r="AF26" s="717"/>
      <c r="AG26" s="717"/>
      <c r="AH26" s="717"/>
      <c r="AI26" s="718"/>
      <c r="BM26">
        <v>14</v>
      </c>
    </row>
    <row r="27" spans="4:65" ht="11.45" customHeight="1">
      <c r="D27" s="679"/>
      <c r="E27" s="679"/>
      <c r="F27" s="679"/>
      <c r="G27" s="689"/>
      <c r="H27" s="509"/>
      <c r="I27" s="665"/>
      <c r="J27" s="665"/>
      <c r="K27" s="4"/>
      <c r="L27" s="665"/>
      <c r="M27" s="665"/>
      <c r="N27" s="439"/>
      <c r="O27" s="439"/>
      <c r="P27" s="717"/>
      <c r="Q27" s="717"/>
      <c r="R27" s="717"/>
      <c r="S27" s="717"/>
      <c r="T27" s="717"/>
      <c r="U27" s="717"/>
      <c r="V27" s="717"/>
      <c r="W27" s="717"/>
      <c r="X27" s="717"/>
      <c r="Y27" s="717"/>
      <c r="Z27" s="717"/>
      <c r="AA27" s="717"/>
      <c r="AB27" s="717"/>
      <c r="AC27" s="717"/>
      <c r="AD27" s="717"/>
      <c r="AE27" s="717"/>
      <c r="AF27" s="717"/>
      <c r="AG27" s="717"/>
      <c r="AH27" s="717"/>
      <c r="AI27" s="718"/>
      <c r="BM27">
        <v>11</v>
      </c>
    </row>
    <row r="28" spans="4:65" s="95" customFormat="1" ht="11.45" customHeight="1">
      <c r="D28" s="673"/>
      <c r="E28" s="673"/>
      <c r="F28" s="674"/>
      <c r="G28" s="687"/>
      <c r="H28" s="506"/>
      <c r="I28" s="510"/>
      <c r="J28" s="715"/>
      <c r="K28" s="715"/>
      <c r="L28" s="715"/>
      <c r="M28" s="715"/>
      <c r="N28" s="715"/>
      <c r="O28" s="715"/>
      <c r="P28" s="715"/>
      <c r="Q28" s="715"/>
      <c r="R28" s="715"/>
      <c r="S28" s="715"/>
      <c r="T28" s="715"/>
      <c r="U28" s="715"/>
      <c r="V28" s="715"/>
      <c r="W28" s="715"/>
      <c r="X28" s="715"/>
      <c r="Y28" s="715"/>
      <c r="Z28" s="715"/>
      <c r="AA28" s="715"/>
      <c r="AB28" s="715"/>
      <c r="AC28" s="715"/>
      <c r="AD28" s="715"/>
      <c r="AE28" s="715"/>
      <c r="AF28" s="715"/>
      <c r="AG28" s="715"/>
      <c r="AH28" s="715"/>
      <c r="AI28" s="716"/>
      <c r="AJ28"/>
      <c r="AK28" s="7"/>
      <c r="AL28"/>
      <c r="AM28"/>
      <c r="AN28"/>
      <c r="AO28"/>
      <c r="AP28"/>
      <c r="AQ28"/>
      <c r="AR28"/>
      <c r="AS28"/>
      <c r="AT28"/>
      <c r="AU28"/>
      <c r="AV28"/>
      <c r="AW28"/>
      <c r="AX28"/>
      <c r="AY28"/>
      <c r="AZ28"/>
      <c r="BA28"/>
      <c r="BB28"/>
      <c r="BC28"/>
      <c r="BD28"/>
      <c r="BE28"/>
      <c r="BF28"/>
      <c r="BG28"/>
      <c r="BH28"/>
      <c r="BI28"/>
      <c r="BJ28"/>
      <c r="BK28"/>
      <c r="BL28"/>
      <c r="BM28" s="95">
        <v>11</v>
      </c>
    </row>
    <row r="29" spans="4:65" ht="15" customHeight="1">
      <c r="D29" s="679" t="s">
        <v>91</v>
      </c>
      <c r="E29" s="679" t="s">
        <v>296</v>
      </c>
      <c r="F29" s="679" t="s">
        <v>300</v>
      </c>
      <c r="G29" s="686" t="s">
        <v>19</v>
      </c>
      <c r="H29" s="507"/>
      <c r="I29" s="697"/>
      <c r="J29" s="697"/>
      <c r="K29" s="470"/>
      <c r="L29" s="697"/>
      <c r="M29" s="697"/>
      <c r="N29" s="470"/>
      <c r="O29" s="697"/>
      <c r="P29" s="697"/>
      <c r="Q29" s="470"/>
      <c r="R29" s="697"/>
      <c r="S29" s="697"/>
      <c r="T29" s="505"/>
      <c r="U29" s="697"/>
      <c r="V29" s="697"/>
      <c r="W29" s="470"/>
      <c r="X29" s="697"/>
      <c r="Y29" s="697"/>
      <c r="Z29" s="470"/>
      <c r="AA29" s="697"/>
      <c r="AB29" s="697"/>
      <c r="AC29" s="128"/>
      <c r="AD29" s="697"/>
      <c r="AE29" s="697"/>
      <c r="AF29" s="470"/>
      <c r="AG29" s="470"/>
      <c r="AH29" s="470"/>
      <c r="AI29" s="438"/>
      <c r="BM29">
        <v>14</v>
      </c>
    </row>
    <row r="30" spans="4:65" ht="14.65" customHeight="1">
      <c r="D30" s="679"/>
      <c r="E30" s="679"/>
      <c r="F30" s="679"/>
      <c r="G30" s="689"/>
      <c r="H30" s="508"/>
      <c r="I30" s="665"/>
      <c r="J30" s="665"/>
      <c r="K30" s="4"/>
      <c r="L30" s="665"/>
      <c r="M30" s="665"/>
      <c r="N30" s="23"/>
      <c r="O30" s="665"/>
      <c r="P30" s="665"/>
      <c r="Q30" s="23"/>
      <c r="R30" s="665"/>
      <c r="S30" s="665"/>
      <c r="T30" s="33"/>
      <c r="U30" s="665"/>
      <c r="V30" s="665"/>
      <c r="W30" s="23"/>
      <c r="X30" s="665"/>
      <c r="Y30" s="665"/>
      <c r="Z30" s="23"/>
      <c r="AA30" s="665"/>
      <c r="AB30" s="665"/>
      <c r="AC30" s="4"/>
      <c r="AD30" s="665"/>
      <c r="AE30" s="665"/>
      <c r="AF30" s="439"/>
      <c r="AG30" s="439"/>
      <c r="AH30" s="717"/>
      <c r="AI30" s="718"/>
      <c r="BM30">
        <v>14</v>
      </c>
    </row>
    <row r="31" spans="4:65" ht="14.65" customHeight="1">
      <c r="D31" s="679"/>
      <c r="E31" s="679"/>
      <c r="F31" s="679"/>
      <c r="G31" s="689"/>
      <c r="H31" s="508"/>
      <c r="I31" s="665"/>
      <c r="J31" s="665"/>
      <c r="K31" s="4"/>
      <c r="L31" s="665"/>
      <c r="M31" s="665"/>
      <c r="N31" s="23"/>
      <c r="O31" s="665"/>
      <c r="P31" s="665"/>
      <c r="Q31" s="23"/>
      <c r="R31" s="665"/>
      <c r="S31" s="665"/>
      <c r="T31" s="33"/>
      <c r="U31" s="665"/>
      <c r="V31" s="665"/>
      <c r="W31" s="23"/>
      <c r="X31" s="665"/>
      <c r="Y31" s="665"/>
      <c r="Z31" s="23"/>
      <c r="AA31" s="439"/>
      <c r="AB31" s="717"/>
      <c r="AC31" s="717"/>
      <c r="AD31" s="717"/>
      <c r="AE31" s="717"/>
      <c r="AF31" s="717"/>
      <c r="AG31" s="717"/>
      <c r="AH31" s="717"/>
      <c r="AI31" s="718"/>
      <c r="BM31">
        <v>14</v>
      </c>
    </row>
    <row r="32" spans="4:65" ht="14.65" customHeight="1">
      <c r="D32" s="679"/>
      <c r="E32" s="679"/>
      <c r="F32" s="679"/>
      <c r="G32" s="689"/>
      <c r="H32" s="508"/>
      <c r="I32" s="665"/>
      <c r="J32" s="665"/>
      <c r="K32" s="4"/>
      <c r="L32" s="665"/>
      <c r="M32" s="665"/>
      <c r="N32" s="23"/>
      <c r="O32" s="665"/>
      <c r="P32" s="665"/>
      <c r="Q32" s="23"/>
      <c r="R32" s="665"/>
      <c r="S32" s="665"/>
      <c r="T32" s="33"/>
      <c r="U32" s="439"/>
      <c r="V32" s="717"/>
      <c r="W32" s="717"/>
      <c r="X32" s="717"/>
      <c r="Y32" s="717"/>
      <c r="Z32" s="717"/>
      <c r="AA32" s="717"/>
      <c r="AB32" s="717"/>
      <c r="AC32" s="717"/>
      <c r="AD32" s="717"/>
      <c r="AE32" s="717"/>
      <c r="AF32" s="717"/>
      <c r="AG32" s="717"/>
      <c r="AH32" s="717"/>
      <c r="AI32" s="718"/>
      <c r="BM32">
        <v>14</v>
      </c>
    </row>
    <row r="33" spans="4:65" ht="11.45" customHeight="1">
      <c r="D33" s="679"/>
      <c r="E33" s="679"/>
      <c r="F33" s="679"/>
      <c r="G33" s="689"/>
      <c r="H33" s="509"/>
      <c r="I33" s="665"/>
      <c r="J33" s="665"/>
      <c r="K33" s="4"/>
      <c r="L33" s="665"/>
      <c r="M33" s="665"/>
      <c r="N33" s="439"/>
      <c r="O33" s="439"/>
      <c r="P33" s="717"/>
      <c r="Q33" s="717"/>
      <c r="R33" s="717"/>
      <c r="S33" s="717"/>
      <c r="T33" s="717"/>
      <c r="U33" s="717"/>
      <c r="V33" s="717"/>
      <c r="W33" s="717"/>
      <c r="X33" s="717"/>
      <c r="Y33" s="717"/>
      <c r="Z33" s="717"/>
      <c r="AA33" s="717"/>
      <c r="AB33" s="717"/>
      <c r="AC33" s="717"/>
      <c r="AD33" s="717"/>
      <c r="AE33" s="717"/>
      <c r="AF33" s="717"/>
      <c r="AG33" s="717"/>
      <c r="AH33" s="717"/>
      <c r="AI33" s="718"/>
      <c r="BM33">
        <v>11</v>
      </c>
    </row>
    <row r="34" spans="4:65" s="95" customFormat="1" ht="11.45" customHeight="1">
      <c r="D34" s="673"/>
      <c r="E34" s="673"/>
      <c r="F34" s="674"/>
      <c r="G34" s="687"/>
      <c r="H34" s="506"/>
      <c r="I34" s="510"/>
      <c r="J34" s="715"/>
      <c r="K34" s="715"/>
      <c r="L34" s="715"/>
      <c r="M34" s="715"/>
      <c r="N34" s="715"/>
      <c r="O34" s="715"/>
      <c r="P34" s="715"/>
      <c r="Q34" s="715"/>
      <c r="R34" s="715"/>
      <c r="S34" s="715"/>
      <c r="T34" s="715"/>
      <c r="U34" s="715"/>
      <c r="V34" s="715"/>
      <c r="W34" s="715"/>
      <c r="X34" s="715"/>
      <c r="Y34" s="715"/>
      <c r="Z34" s="715"/>
      <c r="AA34" s="715"/>
      <c r="AB34" s="715"/>
      <c r="AC34" s="715"/>
      <c r="AD34" s="715"/>
      <c r="AE34" s="715"/>
      <c r="AF34" s="715"/>
      <c r="AG34" s="715"/>
      <c r="AH34" s="715"/>
      <c r="AI34" s="716"/>
      <c r="AJ34"/>
      <c r="AK34" s="7"/>
      <c r="AL34"/>
      <c r="AM34"/>
      <c r="AN34"/>
      <c r="AO34"/>
      <c r="AP34"/>
      <c r="AQ34"/>
      <c r="AR34"/>
      <c r="AS34"/>
      <c r="AT34"/>
      <c r="AU34"/>
      <c r="AV34"/>
      <c r="AW34"/>
      <c r="AX34"/>
      <c r="AY34"/>
      <c r="AZ34"/>
      <c r="BA34"/>
      <c r="BB34"/>
      <c r="BC34"/>
      <c r="BD34"/>
      <c r="BE34"/>
      <c r="BF34"/>
      <c r="BG34"/>
      <c r="BH34"/>
      <c r="BI34"/>
      <c r="BJ34"/>
      <c r="BK34"/>
      <c r="BL34"/>
      <c r="BM34" s="95">
        <v>11</v>
      </c>
    </row>
    <row r="35" spans="4:65" ht="15" customHeight="1">
      <c r="D35" s="679" t="s">
        <v>112</v>
      </c>
      <c r="E35" s="679" t="s">
        <v>296</v>
      </c>
      <c r="F35" s="679" t="s">
        <v>301</v>
      </c>
      <c r="G35" s="686" t="s">
        <v>19</v>
      </c>
      <c r="H35" s="507"/>
      <c r="I35" s="697"/>
      <c r="J35" s="697"/>
      <c r="K35" s="470"/>
      <c r="L35" s="697"/>
      <c r="M35" s="697"/>
      <c r="N35" s="470"/>
      <c r="O35" s="697"/>
      <c r="P35" s="697"/>
      <c r="Q35" s="470"/>
      <c r="R35" s="697"/>
      <c r="S35" s="697"/>
      <c r="T35" s="505"/>
      <c r="U35" s="697"/>
      <c r="V35" s="697"/>
      <c r="W35" s="470"/>
      <c r="X35" s="697"/>
      <c r="Y35" s="697"/>
      <c r="Z35" s="470"/>
      <c r="AA35" s="697"/>
      <c r="AB35" s="697"/>
      <c r="AC35" s="128"/>
      <c r="AD35" s="697"/>
      <c r="AE35" s="697"/>
      <c r="AF35" s="470"/>
      <c r="AG35" s="470"/>
      <c r="AH35" s="470"/>
      <c r="AI35" s="438"/>
      <c r="BM35">
        <v>14</v>
      </c>
    </row>
    <row r="36" spans="4:65" ht="14.65" customHeight="1">
      <c r="D36" s="679"/>
      <c r="E36" s="679"/>
      <c r="F36" s="679"/>
      <c r="G36" s="689"/>
      <c r="H36" s="508"/>
      <c r="I36" s="665"/>
      <c r="J36" s="665"/>
      <c r="K36" s="4"/>
      <c r="L36" s="665"/>
      <c r="M36" s="665"/>
      <c r="N36" s="23"/>
      <c r="O36" s="665"/>
      <c r="P36" s="665"/>
      <c r="Q36" s="23"/>
      <c r="R36" s="665"/>
      <c r="S36" s="665"/>
      <c r="T36" s="33"/>
      <c r="U36" s="665"/>
      <c r="V36" s="665"/>
      <c r="W36" s="23"/>
      <c r="X36" s="665"/>
      <c r="Y36" s="665"/>
      <c r="Z36" s="23"/>
      <c r="AA36" s="665"/>
      <c r="AB36" s="665"/>
      <c r="AC36" s="4"/>
      <c r="AD36" s="665"/>
      <c r="AE36" s="665"/>
      <c r="AF36" s="439"/>
      <c r="AG36" s="439"/>
      <c r="AH36" s="717"/>
      <c r="AI36" s="718"/>
      <c r="BM36">
        <v>14</v>
      </c>
    </row>
    <row r="37" spans="4:65" ht="14.65" customHeight="1">
      <c r="D37" s="679"/>
      <c r="E37" s="679"/>
      <c r="F37" s="679"/>
      <c r="G37" s="689"/>
      <c r="H37" s="508"/>
      <c r="I37" s="665"/>
      <c r="J37" s="665"/>
      <c r="K37" s="4"/>
      <c r="L37" s="665"/>
      <c r="M37" s="665"/>
      <c r="N37" s="23"/>
      <c r="O37" s="665"/>
      <c r="P37" s="665"/>
      <c r="Q37" s="23"/>
      <c r="R37" s="665"/>
      <c r="S37" s="665"/>
      <c r="T37" s="33"/>
      <c r="U37" s="665"/>
      <c r="V37" s="665"/>
      <c r="W37" s="23"/>
      <c r="X37" s="665"/>
      <c r="Y37" s="665"/>
      <c r="Z37" s="23"/>
      <c r="AA37" s="439"/>
      <c r="AB37" s="717"/>
      <c r="AC37" s="717"/>
      <c r="AD37" s="717"/>
      <c r="AE37" s="717"/>
      <c r="AF37" s="717"/>
      <c r="AG37" s="717"/>
      <c r="AH37" s="717"/>
      <c r="AI37" s="718"/>
      <c r="BM37">
        <v>14</v>
      </c>
    </row>
    <row r="38" spans="4:65" ht="14.65" customHeight="1">
      <c r="D38" s="679"/>
      <c r="E38" s="679"/>
      <c r="F38" s="679"/>
      <c r="G38" s="689"/>
      <c r="H38" s="508"/>
      <c r="I38" s="665"/>
      <c r="J38" s="665"/>
      <c r="K38" s="4"/>
      <c r="L38" s="665"/>
      <c r="M38" s="665"/>
      <c r="N38" s="23"/>
      <c r="O38" s="665"/>
      <c r="P38" s="665"/>
      <c r="Q38" s="23"/>
      <c r="R38" s="665"/>
      <c r="S38" s="665"/>
      <c r="T38" s="33"/>
      <c r="U38" s="439"/>
      <c r="V38" s="717"/>
      <c r="W38" s="717"/>
      <c r="X38" s="717"/>
      <c r="Y38" s="717"/>
      <c r="Z38" s="717"/>
      <c r="AA38" s="717"/>
      <c r="AB38" s="717"/>
      <c r="AC38" s="717"/>
      <c r="AD38" s="717"/>
      <c r="AE38" s="717"/>
      <c r="AF38" s="717"/>
      <c r="AG38" s="717"/>
      <c r="AH38" s="717"/>
      <c r="AI38" s="718"/>
      <c r="BM38">
        <v>14</v>
      </c>
    </row>
    <row r="39" spans="4:65" ht="11.45" customHeight="1">
      <c r="D39" s="679"/>
      <c r="E39" s="679"/>
      <c r="F39" s="679"/>
      <c r="G39" s="689"/>
      <c r="H39" s="509"/>
      <c r="I39" s="665"/>
      <c r="J39" s="665"/>
      <c r="K39" s="4"/>
      <c r="L39" s="665"/>
      <c r="M39" s="665"/>
      <c r="N39" s="439"/>
      <c r="O39" s="439"/>
      <c r="P39" s="717"/>
      <c r="Q39" s="717"/>
      <c r="R39" s="717"/>
      <c r="S39" s="717"/>
      <c r="T39" s="717"/>
      <c r="U39" s="717"/>
      <c r="V39" s="717"/>
      <c r="W39" s="717"/>
      <c r="X39" s="717"/>
      <c r="Y39" s="717"/>
      <c r="Z39" s="717"/>
      <c r="AA39" s="717"/>
      <c r="AB39" s="717"/>
      <c r="AC39" s="717"/>
      <c r="AD39" s="717"/>
      <c r="AE39" s="717"/>
      <c r="AF39" s="717"/>
      <c r="AG39" s="717"/>
      <c r="AH39" s="717"/>
      <c r="AI39" s="718"/>
      <c r="BM39">
        <v>11</v>
      </c>
    </row>
    <row r="40" spans="4:65" s="95" customFormat="1" ht="11.45" customHeight="1">
      <c r="D40" s="679"/>
      <c r="E40" s="679"/>
      <c r="F40" s="662"/>
      <c r="G40" s="687"/>
      <c r="H40" s="506"/>
      <c r="I40" s="510"/>
      <c r="J40" s="715"/>
      <c r="K40" s="715"/>
      <c r="L40" s="715"/>
      <c r="M40" s="715"/>
      <c r="N40" s="715"/>
      <c r="O40" s="715"/>
      <c r="P40" s="715"/>
      <c r="Q40" s="715"/>
      <c r="R40" s="715"/>
      <c r="S40" s="715"/>
      <c r="T40" s="715"/>
      <c r="U40" s="715"/>
      <c r="V40" s="715"/>
      <c r="W40" s="715"/>
      <c r="X40" s="715"/>
      <c r="Y40" s="715"/>
      <c r="Z40" s="715"/>
      <c r="AA40" s="715"/>
      <c r="AB40" s="715"/>
      <c r="AC40" s="715"/>
      <c r="AD40" s="715"/>
      <c r="AE40" s="715"/>
      <c r="AF40" s="715"/>
      <c r="AG40" s="715"/>
      <c r="AH40" s="715"/>
      <c r="AI40" s="716"/>
      <c r="AJ40"/>
      <c r="AK40" s="7"/>
      <c r="AL40"/>
      <c r="AM40"/>
      <c r="AN40"/>
      <c r="AO40"/>
      <c r="AP40"/>
      <c r="AQ40"/>
      <c r="AR40"/>
      <c r="AS40"/>
      <c r="AT40"/>
      <c r="AU40"/>
      <c r="AV40"/>
      <c r="AW40"/>
      <c r="AX40"/>
      <c r="AY40"/>
      <c r="AZ40"/>
      <c r="BA40"/>
      <c r="BB40"/>
      <c r="BC40"/>
      <c r="BD40"/>
      <c r="BE40"/>
      <c r="BF40"/>
      <c r="BG40"/>
      <c r="BH40"/>
      <c r="BI40"/>
      <c r="BJ40"/>
      <c r="BK40"/>
      <c r="BL40"/>
      <c r="BM40" s="95">
        <v>11</v>
      </c>
    </row>
    <row r="41" spans="4:65" ht="11.45" customHeight="1">
      <c r="AK41"/>
      <c r="BM41">
        <v>11</v>
      </c>
    </row>
    <row r="42" spans="4:65" ht="11.45" customHeight="1">
      <c r="AK42"/>
      <c r="BM42">
        <v>11</v>
      </c>
    </row>
    <row r="43" spans="4:65" ht="11.45" customHeight="1">
      <c r="AK43"/>
      <c r="BM43">
        <v>11</v>
      </c>
    </row>
    <row r="44" spans="4:65" ht="11.45" customHeight="1">
      <c r="AK44"/>
      <c r="BM44">
        <v>11</v>
      </c>
    </row>
    <row r="45" spans="4:65" ht="11.45" customHeight="1">
      <c r="AK45"/>
      <c r="BM45">
        <v>11</v>
      </c>
    </row>
    <row r="46" spans="4:65" ht="11.45" customHeight="1">
      <c r="AK46"/>
      <c r="BM46">
        <v>11</v>
      </c>
    </row>
    <row r="47" spans="4:65" ht="11.45" customHeight="1">
      <c r="AK47"/>
      <c r="BM47">
        <v>11</v>
      </c>
    </row>
    <row r="48" spans="4:65" ht="11.45" customHeight="1">
      <c r="AK48"/>
      <c r="BM48">
        <v>11</v>
      </c>
    </row>
    <row r="49" spans="1:65" ht="11.45" customHeight="1">
      <c r="AK49"/>
      <c r="BM49">
        <v>11</v>
      </c>
    </row>
    <row r="50" spans="1:65" ht="11.25" hidden="1" customHeight="1">
      <c r="A50" t="s">
        <v>82</v>
      </c>
      <c r="B50">
        <v>0</v>
      </c>
      <c r="C50">
        <v>3</v>
      </c>
      <c r="D50">
        <v>3</v>
      </c>
      <c r="E50">
        <v>15</v>
      </c>
      <c r="F50">
        <v>15</v>
      </c>
      <c r="G50">
        <v>11</v>
      </c>
      <c r="H50">
        <v>3</v>
      </c>
      <c r="I50">
        <v>3</v>
      </c>
      <c r="J50">
        <v>12</v>
      </c>
      <c r="K50">
        <v>0</v>
      </c>
      <c r="L50">
        <v>10</v>
      </c>
      <c r="M50">
        <v>10</v>
      </c>
      <c r="N50">
        <v>3</v>
      </c>
      <c r="O50">
        <v>3</v>
      </c>
      <c r="P50">
        <v>19</v>
      </c>
      <c r="Q50">
        <v>0</v>
      </c>
      <c r="R50">
        <v>10</v>
      </c>
      <c r="S50">
        <v>10</v>
      </c>
      <c r="T50">
        <v>3</v>
      </c>
      <c r="U50">
        <v>3</v>
      </c>
      <c r="V50">
        <v>25</v>
      </c>
      <c r="W50">
        <v>0</v>
      </c>
      <c r="X50">
        <v>10</v>
      </c>
      <c r="Y50">
        <v>10</v>
      </c>
      <c r="Z50">
        <v>3</v>
      </c>
      <c r="AA50">
        <v>3</v>
      </c>
      <c r="AB50">
        <v>16</v>
      </c>
      <c r="AC50">
        <v>0</v>
      </c>
      <c r="AD50">
        <v>10</v>
      </c>
      <c r="AE50">
        <v>10</v>
      </c>
      <c r="AF50">
        <v>3</v>
      </c>
      <c r="AG50">
        <v>3</v>
      </c>
      <c r="AH50">
        <v>8</v>
      </c>
      <c r="AI50">
        <v>21</v>
      </c>
      <c r="AJ50">
        <v>8</v>
      </c>
      <c r="AK50" s="7">
        <v>8</v>
      </c>
      <c r="AL50">
        <v>8</v>
      </c>
      <c r="AM50">
        <v>8</v>
      </c>
      <c r="AN50">
        <v>8</v>
      </c>
      <c r="AO50">
        <v>8</v>
      </c>
      <c r="AP50">
        <v>8</v>
      </c>
      <c r="AQ50">
        <v>8</v>
      </c>
      <c r="AR50">
        <v>8</v>
      </c>
      <c r="AS50">
        <v>8</v>
      </c>
      <c r="AT50">
        <v>8</v>
      </c>
      <c r="AU50">
        <v>8</v>
      </c>
      <c r="AV50">
        <v>8</v>
      </c>
      <c r="AW50">
        <v>8</v>
      </c>
      <c r="AX50">
        <v>8</v>
      </c>
      <c r="AY50">
        <v>8</v>
      </c>
      <c r="AZ50">
        <v>8</v>
      </c>
      <c r="BA50">
        <v>8</v>
      </c>
      <c r="BB50">
        <v>8</v>
      </c>
      <c r="BC50">
        <v>8</v>
      </c>
      <c r="BD50">
        <v>8</v>
      </c>
      <c r="BE50">
        <v>8</v>
      </c>
      <c r="BF50">
        <v>8</v>
      </c>
      <c r="BG50">
        <v>8</v>
      </c>
      <c r="BH50">
        <v>8</v>
      </c>
      <c r="BI50">
        <v>8</v>
      </c>
      <c r="BJ50">
        <v>8</v>
      </c>
      <c r="BK50">
        <v>8</v>
      </c>
      <c r="BL50">
        <v>8</v>
      </c>
      <c r="BM50">
        <v>11</v>
      </c>
    </row>
  </sheetData>
  <sheetProtection formatColumns="0" formatRows="0" insertRows="0" deleteColumns="0" deleteRows="0" sort="0" autoFilter="0"/>
  <mergeCells count="151">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 ref="AB35:AB36"/>
    <mergeCell ref="O23:O26"/>
    <mergeCell ref="P23:P26"/>
    <mergeCell ref="R23:R26"/>
    <mergeCell ref="S23:S26"/>
    <mergeCell ref="AB23:AB24"/>
    <mergeCell ref="AD23:AD24"/>
    <mergeCell ref="AE23:AE24"/>
    <mergeCell ref="AA23:AA24"/>
    <mergeCell ref="AB29:AB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AH24:AI24"/>
    <mergeCell ref="AB25:AI25"/>
    <mergeCell ref="V26:AI26"/>
    <mergeCell ref="P27:AI27"/>
    <mergeCell ref="U23:U25"/>
    <mergeCell ref="V23:V25"/>
    <mergeCell ref="X23:X25"/>
    <mergeCell ref="Y23:Y25"/>
    <mergeCell ref="L23:L27"/>
    <mergeCell ref="M23:M27"/>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s>
  <dataValidations count="2">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xr:uid="{00000000-0002-0000-0500-000000000000}">
      <formula1>900</formula1>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xr:uid="{00000000-0002-0000-0500-000001000000}">
      <formula1>list_typeTKO</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F098DC-EBB5-BD06-1666-AED9D6336BE6}">
  <sheetPr>
    <tabColor theme="3" tint="0.59999389629810485"/>
  </sheetPr>
  <dimension ref="A1:J60"/>
  <sheetViews>
    <sheetView showGridLines="0" zoomScale="90" workbookViewId="0">
      <pane xSplit="5" ySplit="12" topLeftCell="F13" activePane="bottomRight" state="frozen"/>
      <selection pane="topRight" activeCell="F1" sqref="F1"/>
      <selection pane="bottomLeft" activeCell="A13" sqref="A13"/>
      <selection pane="bottomRight"/>
    </sheetView>
  </sheetViews>
  <sheetFormatPr defaultColWidth="9.140625" defaultRowHeight="11.25" customHeight="1"/>
  <cols>
    <col min="1" max="1" width="15" style="6" hidden="1" customWidth="1"/>
    <col min="2" max="2" width="15" style="159" hidden="1" customWidth="1"/>
    <col min="3" max="3" width="3" style="140" customWidth="1"/>
    <col min="4" max="4" width="6" style="140" customWidth="1"/>
    <col min="5" max="5" width="52" style="140" customWidth="1"/>
    <col min="6" max="6" width="48" style="140" customWidth="1"/>
    <col min="7" max="7" width="121" style="140" customWidth="1"/>
    <col min="8" max="8" width="8" style="140" customWidth="1"/>
    <col min="9" max="9" width="64" style="140" customWidth="1"/>
    <col min="10" max="10" width="9.140625" style="140" hidden="1"/>
  </cols>
  <sheetData>
    <row r="1" spans="1:10" ht="11.25" hidden="1" customHeight="1">
      <c r="A1" s="6" t="s">
        <v>302</v>
      </c>
      <c r="J1" s="140" t="s">
        <v>14</v>
      </c>
    </row>
    <row r="2" spans="1:10" ht="11.25" hidden="1" customHeight="1">
      <c r="J2" s="140">
        <v>0</v>
      </c>
    </row>
    <row r="3" spans="1:10" s="84" customFormat="1" ht="11.45" customHeight="1">
      <c r="A3" s="6"/>
      <c r="B3" s="159"/>
      <c r="J3" s="84">
        <v>11</v>
      </c>
    </row>
    <row r="4" spans="1:10" ht="27.4" customHeight="1">
      <c r="D4" s="672" t="str">
        <f>ORG_INFO_NAME_FORM</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E4" s="673"/>
      <c r="F4" s="674"/>
      <c r="I4" s="231"/>
      <c r="J4" s="140">
        <v>26</v>
      </c>
    </row>
    <row r="5" spans="1:10" ht="18" customHeight="1">
      <c r="D5" s="712" t="str">
        <f>IF(org=0,"Не определено",org)</f>
        <v>ООО "Восточная Тепловая компания"</v>
      </c>
      <c r="E5" s="712"/>
      <c r="F5" s="712"/>
      <c r="I5" s="231"/>
      <c r="J5" s="140">
        <v>17</v>
      </c>
    </row>
    <row r="6" spans="1:10" s="84" customFormat="1" ht="11.45" customHeight="1">
      <c r="A6" s="6"/>
      <c r="B6" s="159"/>
      <c r="D6" s="230"/>
      <c r="E6" s="230"/>
      <c r="F6" s="247"/>
      <c r="G6" s="230"/>
      <c r="J6" s="84">
        <v>11</v>
      </c>
    </row>
    <row r="7" spans="1:10" ht="11.25" hidden="1" customHeight="1">
      <c r="C7" s="6"/>
      <c r="D7" s="6"/>
      <c r="E7" s="723"/>
      <c r="F7" s="723"/>
      <c r="J7" s="140">
        <v>0</v>
      </c>
    </row>
    <row r="8" spans="1:10" ht="11.45" customHeight="1">
      <c r="C8" s="6"/>
      <c r="D8" s="721" t="s">
        <v>303</v>
      </c>
      <c r="E8" s="722"/>
      <c r="F8" s="722"/>
      <c r="G8" s="721" t="s">
        <v>304</v>
      </c>
      <c r="J8" s="140">
        <v>11</v>
      </c>
    </row>
    <row r="9" spans="1:10" ht="11.45" customHeight="1">
      <c r="C9" s="6"/>
      <c r="D9" s="148" t="s">
        <v>88</v>
      </c>
      <c r="E9" s="99" t="s">
        <v>305</v>
      </c>
      <c r="F9" s="99" t="s">
        <v>306</v>
      </c>
      <c r="G9" s="722"/>
      <c r="J9" s="140">
        <v>11</v>
      </c>
    </row>
    <row r="10" spans="1:10" ht="12" hidden="1" customHeight="1">
      <c r="C10" s="6"/>
      <c r="D10" s="144"/>
      <c r="E10" s="144"/>
      <c r="F10" s="144"/>
      <c r="G10" s="144"/>
      <c r="J10" s="140">
        <v>0</v>
      </c>
    </row>
    <row r="11" spans="1:10" ht="22.5" hidden="1" customHeight="1">
      <c r="C11" s="6"/>
      <c r="D11" s="332" t="s">
        <v>110</v>
      </c>
      <c r="E11" s="174" t="s">
        <v>307</v>
      </c>
      <c r="F11" s="174" t="str">
        <f>IF(region_name="","",region_name)</f>
        <v>Томская область</v>
      </c>
      <c r="G11" s="174" t="s">
        <v>308</v>
      </c>
      <c r="H11" s="149"/>
      <c r="J11" s="140">
        <v>0</v>
      </c>
    </row>
    <row r="12" spans="1:10" ht="22.5" hidden="1" customHeight="1">
      <c r="C12" s="6"/>
      <c r="D12" s="44" t="s">
        <v>110</v>
      </c>
      <c r="E12" s="99"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 xml:space="preserve">Данные о регулируемой организации,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v>
      </c>
      <c r="F12" s="27" t="s">
        <v>309</v>
      </c>
      <c r="G12" s="24"/>
      <c r="H12" s="149"/>
      <c r="J12" s="140">
        <v>0</v>
      </c>
    </row>
    <row r="13" spans="1:10" ht="23.25" customHeight="1">
      <c r="C13" s="6"/>
      <c r="D13" s="44" t="s">
        <v>110</v>
      </c>
      <c r="E13" s="99" t="str">
        <f>"Наименование юридического лица"&amp;IF(TEMPLATE_SPHERE="TKO"," (индивидуального предпринимателя)","")</f>
        <v>Наименование юридического лица</v>
      </c>
      <c r="F13" s="139"/>
      <c r="G13" s="99"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(согласно уставу регулируемой организации)</v>
      </c>
      <c r="H13" s="149"/>
      <c r="J13" s="140">
        <v>22</v>
      </c>
    </row>
    <row r="14" spans="1:10" ht="22.5" hidden="1" customHeight="1">
      <c r="C14" s="6"/>
      <c r="D14" s="332" t="s">
        <v>310</v>
      </c>
      <c r="E14" s="174" t="s">
        <v>311</v>
      </c>
      <c r="F14" s="174" t="str">
        <f>IF(inn="","",inn)</f>
        <v>7014055806</v>
      </c>
      <c r="G14" s="174" t="s">
        <v>312</v>
      </c>
      <c r="H14" s="149"/>
      <c r="J14" s="140">
        <v>0</v>
      </c>
    </row>
    <row r="15" spans="1:10" ht="22.5" hidden="1" customHeight="1">
      <c r="C15" s="6"/>
      <c r="D15" s="332" t="s">
        <v>313</v>
      </c>
      <c r="E15" s="174" t="s">
        <v>314</v>
      </c>
      <c r="F15" s="174" t="str">
        <f>IF(kpp="","",kpp)</f>
        <v>701401001</v>
      </c>
      <c r="G15" s="174" t="s">
        <v>315</v>
      </c>
      <c r="H15" s="149"/>
      <c r="J15" s="140">
        <v>0</v>
      </c>
    </row>
    <row r="16" spans="1:10" ht="39" customHeight="1">
      <c r="C16" s="6"/>
      <c r="D16" s="44" t="s">
        <v>111</v>
      </c>
      <c r="E16" s="99"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139"/>
      <c r="G16" s="99"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149"/>
      <c r="J16" s="140">
        <v>37</v>
      </c>
    </row>
    <row r="17" spans="1:10" ht="23.25" customHeight="1">
      <c r="C17" s="6"/>
      <c r="D17" s="44" t="s">
        <v>90</v>
      </c>
      <c r="E17" s="99" t="str">
        <f>"Дата присвоения ОГРН"&amp;IF(TEMPLATE_SPHERE="TKO",""," (ОГРНИП)")</f>
        <v>Дата присвоения ОГРН (ОГРНИП)</v>
      </c>
      <c r="F17" s="544" t="s">
        <v>22</v>
      </c>
      <c r="G17" s="99" t="str">
        <f>"Дата присвоения ОГРН"&amp;IF(TEMPLATE_SPHERE="TKO",""," (ОГРНИП)")&amp;" указывается в виде «ДД.ММ.ГГГГ»."</f>
        <v>Дата присвоения ОГРН (ОГРНИП) указывается в виде «ДД.ММ.ГГГГ».</v>
      </c>
      <c r="H17" s="149"/>
      <c r="J17" s="140">
        <v>22</v>
      </c>
    </row>
    <row r="18" spans="1:10" ht="71.25" customHeight="1">
      <c r="C18" s="6"/>
      <c r="D18" s="44" t="s">
        <v>91</v>
      </c>
      <c r="E18" s="99"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139"/>
      <c r="G18" s="24"/>
      <c r="H18" s="149"/>
      <c r="J18" s="140">
        <v>68</v>
      </c>
    </row>
    <row r="19" spans="1:10" ht="22.5" hidden="1" customHeight="1">
      <c r="A19" s="719" t="s">
        <v>316</v>
      </c>
      <c r="C19" s="727"/>
      <c r="D19" s="44" t="str">
        <f>A19</f>
        <v>5.1</v>
      </c>
      <c r="E19" s="99" t="s">
        <v>317</v>
      </c>
      <c r="F19" s="27" t="s">
        <v>309</v>
      </c>
      <c r="G19" s="99" t="s">
        <v>318</v>
      </c>
      <c r="H19" s="149"/>
      <c r="I19" s="231"/>
      <c r="J19" s="140">
        <v>0</v>
      </c>
    </row>
    <row r="20" spans="1:10" ht="24" hidden="1" customHeight="1">
      <c r="A20" s="719"/>
      <c r="C20" s="727"/>
      <c r="D20" s="99" t="str">
        <f>D19&amp;".1"</f>
        <v>5.1.1</v>
      </c>
      <c r="E20" s="99" t="s">
        <v>319</v>
      </c>
      <c r="F20" s="49" t="s">
        <v>22</v>
      </c>
      <c r="G20" s="24"/>
      <c r="H20" s="149"/>
      <c r="I20" s="231"/>
      <c r="J20" s="140">
        <v>0</v>
      </c>
    </row>
    <row r="21" spans="1:10" ht="22.5" hidden="1" customHeight="1">
      <c r="A21" s="719"/>
      <c r="C21" s="727"/>
      <c r="D21" s="99" t="str">
        <f>D19&amp;".2"</f>
        <v>5.1.2</v>
      </c>
      <c r="E21" s="99" t="s">
        <v>320</v>
      </c>
      <c r="F21" s="545" t="s">
        <v>22</v>
      </c>
      <c r="G21" s="99" t="s">
        <v>321</v>
      </c>
      <c r="H21" s="149"/>
      <c r="I21" s="231"/>
      <c r="J21" s="140">
        <v>0</v>
      </c>
    </row>
    <row r="22" spans="1:10" ht="22.5" hidden="1" customHeight="1">
      <c r="A22" s="719"/>
      <c r="C22" s="727"/>
      <c r="D22" s="99" t="str">
        <f>D19&amp;".3"</f>
        <v>5.1.3</v>
      </c>
      <c r="E22" s="99" t="s">
        <v>322</v>
      </c>
      <c r="F22" s="49" t="s">
        <v>22</v>
      </c>
      <c r="G22" s="24"/>
      <c r="H22" s="149"/>
      <c r="I22" s="231"/>
      <c r="J22" s="140">
        <v>0</v>
      </c>
    </row>
    <row r="23" spans="1:10" ht="22.5" hidden="1" customHeight="1">
      <c r="A23" s="719"/>
      <c r="C23" s="727"/>
      <c r="D23" s="99" t="str">
        <f>D19&amp;".4"</f>
        <v>5.1.4</v>
      </c>
      <c r="E23" s="99" t="s">
        <v>323</v>
      </c>
      <c r="F23" s="49" t="s">
        <v>22</v>
      </c>
      <c r="G23" s="99" t="s">
        <v>324</v>
      </c>
      <c r="H23" s="149"/>
      <c r="I23" s="231"/>
      <c r="J23" s="140">
        <v>0</v>
      </c>
    </row>
    <row r="24" spans="1:10" ht="22.5" hidden="1" customHeight="1">
      <c r="A24" s="11"/>
      <c r="C24" s="153"/>
      <c r="D24" s="28"/>
      <c r="E24" s="37" t="s">
        <v>325</v>
      </c>
      <c r="F24" s="145"/>
      <c r="G24" s="146"/>
      <c r="H24" s="149"/>
      <c r="I24" s="231"/>
      <c r="J24" s="140">
        <v>0</v>
      </c>
    </row>
    <row r="25" spans="1:10" s="159" customFormat="1" ht="24.75" hidden="1" customHeight="1">
      <c r="A25" s="6"/>
      <c r="D25" s="338" t="s">
        <v>90</v>
      </c>
      <c r="E25" s="294" t="s">
        <v>326</v>
      </c>
      <c r="F25" s="174" t="s">
        <v>309</v>
      </c>
      <c r="G25" s="294"/>
      <c r="J25" s="159">
        <v>0</v>
      </c>
    </row>
    <row r="26" spans="1:10" s="159" customFormat="1" ht="11.25" hidden="1" customHeight="1">
      <c r="A26" s="6"/>
      <c r="D26" s="338" t="s">
        <v>327</v>
      </c>
      <c r="E26" s="294" t="s">
        <v>328</v>
      </c>
      <c r="F26" s="174" t="s">
        <v>309</v>
      </c>
      <c r="G26" s="294"/>
      <c r="J26" s="159">
        <v>0</v>
      </c>
    </row>
    <row r="27" spans="1:10" s="159" customFormat="1" ht="11.25" hidden="1" customHeight="1">
      <c r="A27" s="6"/>
      <c r="D27" s="338" t="s">
        <v>329</v>
      </c>
      <c r="E27" s="294" t="s">
        <v>330</v>
      </c>
      <c r="F27" s="332"/>
      <c r="G27" s="294"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регулируемой организации, ответственного за размещение данных, в соответствии с паспортными данными физического лица.</v>
      </c>
      <c r="J27" s="159">
        <v>0</v>
      </c>
    </row>
    <row r="28" spans="1:10" s="159" customFormat="1" ht="11.25" hidden="1" customHeight="1">
      <c r="A28" s="6"/>
      <c r="D28" s="338" t="s">
        <v>331</v>
      </c>
      <c r="E28" s="294" t="s">
        <v>332</v>
      </c>
      <c r="F28" s="332"/>
      <c r="G28" s="294"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регулируемой организации, ответственного за размещение данных, в соответствии с паспортными данными физического лица.</v>
      </c>
      <c r="J28" s="159">
        <v>0</v>
      </c>
    </row>
    <row r="29" spans="1:10" s="159" customFormat="1" ht="11.25" hidden="1" customHeight="1">
      <c r="A29" s="6"/>
      <c r="D29" s="338" t="s">
        <v>333</v>
      </c>
      <c r="E29" s="294" t="s">
        <v>334</v>
      </c>
      <c r="F29" s="332"/>
      <c r="G29" s="294"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регулируемой организации, ответственного за размещение данных, в соответствии с паспортными данными физического лица (при наличии).</v>
      </c>
      <c r="J29" s="159">
        <v>0</v>
      </c>
    </row>
    <row r="30" spans="1:10" s="159" customFormat="1" ht="11.25" hidden="1" customHeight="1">
      <c r="A30" s="6"/>
      <c r="D30" s="338" t="s">
        <v>335</v>
      </c>
      <c r="E30" s="294" t="s">
        <v>336</v>
      </c>
      <c r="F30" s="332"/>
      <c r="G30" s="294"/>
      <c r="J30" s="159">
        <v>0</v>
      </c>
    </row>
    <row r="31" spans="1:10" s="159" customFormat="1" ht="11.25" hidden="1" customHeight="1">
      <c r="A31" s="6"/>
      <c r="D31" s="338" t="s">
        <v>337</v>
      </c>
      <c r="E31" s="294" t="s">
        <v>338</v>
      </c>
      <c r="F31" s="332"/>
      <c r="G31" s="294"/>
      <c r="J31" s="159">
        <v>0</v>
      </c>
    </row>
    <row r="32" spans="1:10" s="159" customFormat="1" ht="11.25" hidden="1" customHeight="1">
      <c r="A32" s="6"/>
      <c r="D32" s="338" t="s">
        <v>339</v>
      </c>
      <c r="E32" s="294" t="s">
        <v>340</v>
      </c>
      <c r="F32" s="332"/>
      <c r="G32" s="294"/>
      <c r="J32" s="159">
        <v>0</v>
      </c>
    </row>
    <row r="33" spans="1:10" ht="24" customHeight="1">
      <c r="A33" s="6" t="str">
        <f>IF(TEMPLATE_SPHERE="HEAT","6","5")</f>
        <v>6</v>
      </c>
      <c r="C33" s="6"/>
      <c r="D33" s="99" t="str">
        <f>A33</f>
        <v>6</v>
      </c>
      <c r="E33" s="99"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ЕТО, ТО  (индивидуального предпринимателя):</v>
      </c>
      <c r="F33" s="27" t="s">
        <v>309</v>
      </c>
      <c r="G33" s="24"/>
      <c r="H33" s="149"/>
      <c r="J33" s="140">
        <v>23</v>
      </c>
    </row>
    <row r="34" spans="1:10" ht="23.25" customHeight="1">
      <c r="C34" s="6"/>
      <c r="D34" s="99" t="str">
        <f>D33&amp;".1"</f>
        <v>6.1</v>
      </c>
      <c r="E34" s="99" t="str">
        <f>"фамилия"&amp;IF(TEMPLATE_SPHERE&lt;&gt;"HEAT"," руководителя","")</f>
        <v>фамилия</v>
      </c>
      <c r="F34" s="139"/>
      <c r="G34" s="99"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ЕТО, ТО в соответствии с паспортными данными физического лица.</v>
      </c>
      <c r="H34" s="149"/>
      <c r="J34" s="140">
        <v>22</v>
      </c>
    </row>
    <row r="35" spans="1:10" ht="23.25" customHeight="1">
      <c r="C35" s="6"/>
      <c r="D35" s="99" t="str">
        <f>D33&amp;".2"</f>
        <v>6.2</v>
      </c>
      <c r="E35" s="99" t="str">
        <f>"имя"&amp;IF(TEMPLATE_SPHERE&lt;&gt;"HEAT"," руководителя","")</f>
        <v>имя</v>
      </c>
      <c r="F35" s="139"/>
      <c r="G35" s="99"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ЕТО, ТО в соответствии с паспортными данными физического лица.</v>
      </c>
      <c r="H35" s="149"/>
      <c r="J35" s="140">
        <v>22</v>
      </c>
    </row>
    <row r="36" spans="1:10" ht="24" customHeight="1">
      <c r="C36" s="6"/>
      <c r="D36" s="99" t="str">
        <f>D33&amp;".3"</f>
        <v>6.3</v>
      </c>
      <c r="E36" s="99" t="str">
        <f>"отчество"&amp;IF(TEMPLATE_SPHERE&lt;&gt;"HEAT"," руководителя","")</f>
        <v>отчество</v>
      </c>
      <c r="F36" s="226"/>
      <c r="G36" s="99"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ЕТО, ТО в соответствии с паспортными данными физического лица (при наличии).</v>
      </c>
      <c r="H36" s="149"/>
      <c r="J36" s="140">
        <v>23</v>
      </c>
    </row>
    <row r="37" spans="1:10" ht="35.65" customHeight="1">
      <c r="C37" s="6"/>
      <c r="D37" s="99">
        <f>D33+1</f>
        <v>7</v>
      </c>
      <c r="E37" s="99"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 ЕТО, ТО</v>
      </c>
      <c r="F37" s="139"/>
      <c r="G37" s="99" t="s">
        <v>341</v>
      </c>
      <c r="H37" s="149"/>
      <c r="J37" s="140">
        <v>34</v>
      </c>
    </row>
    <row r="38" spans="1:10" ht="35.65" customHeight="1">
      <c r="C38" s="6"/>
      <c r="D38" s="99">
        <f>D37+1</f>
        <v>8</v>
      </c>
      <c r="E38" s="99"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 ЕТО, ТО</v>
      </c>
      <c r="F38" s="139"/>
      <c r="G38" s="99" t="s">
        <v>341</v>
      </c>
      <c r="H38" s="149"/>
      <c r="J38" s="140">
        <v>34</v>
      </c>
    </row>
    <row r="39" spans="1:10" ht="23.25" customHeight="1">
      <c r="C39" s="6"/>
      <c r="D39" s="99">
        <f>D38+1</f>
        <v>9</v>
      </c>
      <c r="E39" s="138"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 ЕТО, ТО</v>
      </c>
      <c r="F39" s="27" t="s">
        <v>309</v>
      </c>
      <c r="G39" s="724"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149"/>
      <c r="J39" s="140">
        <v>22</v>
      </c>
    </row>
    <row r="40" spans="1:10" ht="22.5" hidden="1" customHeight="1">
      <c r="C40" s="6"/>
      <c r="D40" s="99" t="str">
        <f>D39&amp;".0"</f>
        <v>9.0</v>
      </c>
      <c r="E40" s="49"/>
      <c r="F40" s="49"/>
      <c r="G40" s="725"/>
      <c r="H40" s="149"/>
      <c r="J40" s="140">
        <v>0</v>
      </c>
    </row>
    <row r="41" spans="1:10" ht="23.25" customHeight="1">
      <c r="B41" s="6"/>
      <c r="C41" s="15"/>
      <c r="D41" s="99" t="str">
        <f>D39&amp;".1"</f>
        <v>9.1</v>
      </c>
      <c r="E41" s="139"/>
      <c r="F41" s="225"/>
      <c r="G41" s="725"/>
      <c r="H41" s="149"/>
      <c r="J41" s="140">
        <v>22</v>
      </c>
    </row>
    <row r="42" spans="1:10" ht="15.75" customHeight="1">
      <c r="C42" s="6"/>
      <c r="D42" s="28"/>
      <c r="E42" s="37" t="s">
        <v>342</v>
      </c>
      <c r="F42" s="146"/>
      <c r="G42" s="726"/>
      <c r="H42" s="150"/>
      <c r="J42" s="140">
        <v>15</v>
      </c>
    </row>
    <row r="43" spans="1:10" ht="27.4" customHeight="1">
      <c r="C43" s="6"/>
      <c r="D43" s="99">
        <f>D39+1</f>
        <v>10</v>
      </c>
      <c r="E43" s="99"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ЕТО, ТО в сети «Интернет»</v>
      </c>
      <c r="F43" s="290"/>
      <c r="G43" s="99"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149"/>
      <c r="J43" s="140">
        <v>26</v>
      </c>
    </row>
    <row r="44" spans="1:10" ht="23.25" customHeight="1">
      <c r="C44" s="6"/>
      <c r="D44" s="99">
        <f>D43+1</f>
        <v>11</v>
      </c>
      <c r="E44" s="99"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 ЕТО, ТО</v>
      </c>
      <c r="F44" s="25"/>
      <c r="G44" s="24" t="s">
        <v>343</v>
      </c>
      <c r="H44" s="149"/>
      <c r="J44" s="140">
        <v>22</v>
      </c>
    </row>
    <row r="45" spans="1:10" ht="23.25" customHeight="1">
      <c r="C45" s="6"/>
      <c r="D45" s="99">
        <f>D44+1</f>
        <v>12</v>
      </c>
      <c r="E45" s="99" t="s">
        <v>344</v>
      </c>
      <c r="F45" s="27" t="s">
        <v>309</v>
      </c>
      <c r="G45" s="138" t="str">
        <f>IF(TEMPLATE_SPHERE="TKO","Указывается режим работы организации.","")</f>
        <v/>
      </c>
      <c r="H45" s="149"/>
      <c r="J45" s="140">
        <v>22</v>
      </c>
    </row>
    <row r="46" spans="1:10" ht="24" customHeight="1">
      <c r="C46" s="6"/>
      <c r="D46" s="99" t="str">
        <f>D45&amp;".1"</f>
        <v>12.1</v>
      </c>
      <c r="E46" s="99" t="str">
        <f>"режим работы регулируемой организации"&amp;IF(TEMPLATE_SPHERE="HEAT",", ЕТО, ТО","")</f>
        <v>режим работы регулируемой организации, ЕТО, ТО</v>
      </c>
      <c r="F46" s="69"/>
      <c r="G46" s="138" t="s">
        <v>345</v>
      </c>
      <c r="H46" s="149"/>
      <c r="J46" s="140">
        <v>23</v>
      </c>
    </row>
    <row r="47" spans="1:10" ht="24" customHeight="1">
      <c r="A47" s="719"/>
      <c r="C47" s="153"/>
      <c r="D47" s="99" t="str">
        <f>D45&amp;".2"</f>
        <v>12.2</v>
      </c>
      <c r="E47" s="99" t="s">
        <v>346</v>
      </c>
      <c r="F47" s="69"/>
      <c r="G47" s="138" t="s">
        <v>347</v>
      </c>
      <c r="H47" s="149"/>
      <c r="J47" s="140">
        <v>23</v>
      </c>
    </row>
    <row r="48" spans="1:10" ht="24" customHeight="1">
      <c r="A48" s="719"/>
      <c r="C48" s="153"/>
      <c r="D48" s="99" t="str">
        <f>D45&amp;".3"</f>
        <v>12.3</v>
      </c>
      <c r="E48" s="99" t="s">
        <v>348</v>
      </c>
      <c r="F48" s="69"/>
      <c r="G48" s="138" t="s">
        <v>349</v>
      </c>
      <c r="H48" s="149"/>
      <c r="J48" s="140">
        <v>23</v>
      </c>
    </row>
    <row r="49" spans="1:10" ht="24" customHeight="1">
      <c r="A49" s="719"/>
      <c r="C49" s="153"/>
      <c r="D49" s="99" t="str">
        <f>IF(TEMPLATE_SPHERE="TKO",D45&amp;".0",D45&amp;".4")</f>
        <v>12.4</v>
      </c>
      <c r="E49" s="104" t="s">
        <v>350</v>
      </c>
      <c r="F49" s="519"/>
      <c r="G49" s="99" t="s">
        <v>351</v>
      </c>
      <c r="H49" s="149"/>
      <c r="J49" s="140">
        <v>23</v>
      </c>
    </row>
    <row r="50" spans="1:10" ht="24" customHeight="1">
      <c r="C50" s="6"/>
      <c r="D50" s="28"/>
      <c r="E50" s="37" t="s">
        <v>352</v>
      </c>
      <c r="F50" s="145"/>
      <c r="G50" s="99" t="s">
        <v>353</v>
      </c>
      <c r="H50" s="150"/>
      <c r="J50" s="140">
        <v>23</v>
      </c>
    </row>
    <row r="51" spans="1:10" ht="24" customHeight="1">
      <c r="A51" s="11"/>
      <c r="C51" s="153"/>
      <c r="D51" s="99">
        <f>D45+1</f>
        <v>13</v>
      </c>
      <c r="E51" s="104" t="s">
        <v>354</v>
      </c>
      <c r="F51" s="69"/>
      <c r="G51" s="520"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а также требований к составу и содержанию таких программ (за исключением таких программ, утверждаемых 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v>
      </c>
      <c r="H51" s="149"/>
      <c r="J51" s="140">
        <v>23</v>
      </c>
    </row>
    <row r="52" spans="1:10" ht="11.45" customHeight="1">
      <c r="C52" s="6"/>
      <c r="J52" s="140">
        <v>11</v>
      </c>
    </row>
    <row r="53" spans="1:10" s="142" customFormat="1" ht="31.5" customHeight="1">
      <c r="A53" s="4"/>
      <c r="B53" s="46"/>
      <c r="C53" s="720"/>
      <c r="D53" s="720"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 осуществляет несколько видов деятельности в сфере теплоснабжения, информация о которых подлежит раскрытию в соответствии со Стандартами раскрытия информации в сфере теплоснабжения, утвержденными постановлением Правительства Российской Федерации от 26.01.2023 № 110, информация по каждому виду деятельности раскрывается отдельно.</v>
      </c>
      <c r="E53" s="720"/>
      <c r="F53" s="720"/>
      <c r="G53" s="720"/>
      <c r="H53" s="39"/>
      <c r="I53" s="39"/>
      <c r="J53" s="142">
        <v>30</v>
      </c>
    </row>
    <row r="54" spans="1:10" s="142" customFormat="1" ht="42" customHeight="1">
      <c r="A54" s="6"/>
      <c r="B54" s="159"/>
      <c r="C54" s="720"/>
      <c r="D54" s="720" t="str">
        <f>IF(ORG_INFO_P_NOTE_MAIN=0,"",ORG_INFO_P_NOTE_MAIN)</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E54" s="720"/>
      <c r="F54" s="720"/>
      <c r="G54" s="720"/>
      <c r="J54" s="142">
        <v>40</v>
      </c>
    </row>
    <row r="55" spans="1:10" ht="11.45" customHeight="1">
      <c r="D55" s="141"/>
      <c r="E55" s="141"/>
      <c r="F55" s="141"/>
      <c r="G55" s="141"/>
      <c r="J55" s="140">
        <v>11</v>
      </c>
    </row>
    <row r="56" spans="1:10" ht="28.5" customHeight="1">
      <c r="D56" s="143"/>
      <c r="E56" s="141"/>
      <c r="F56" s="147"/>
      <c r="G56" s="147"/>
      <c r="J56" s="140">
        <v>27</v>
      </c>
    </row>
    <row r="57" spans="1:10" ht="11.45" customHeight="1">
      <c r="D57" s="141"/>
      <c r="E57" s="141"/>
      <c r="F57" s="141"/>
      <c r="G57" s="141"/>
      <c r="J57" s="140">
        <v>11</v>
      </c>
    </row>
    <row r="58" spans="1:10" ht="40.9" customHeight="1">
      <c r="D58" s="143"/>
      <c r="E58" s="147"/>
      <c r="F58" s="147"/>
      <c r="G58" s="147"/>
      <c r="J58" s="140">
        <v>39</v>
      </c>
    </row>
    <row r="59" spans="1:10" ht="28.5" customHeight="1">
      <c r="D59" s="143"/>
      <c r="E59" s="147"/>
      <c r="F59" s="147"/>
      <c r="G59" s="147"/>
      <c r="J59" s="140">
        <v>27</v>
      </c>
    </row>
    <row r="60" spans="1:10" ht="11.25" hidden="1" customHeight="1">
      <c r="A60" s="6" t="s">
        <v>82</v>
      </c>
      <c r="B60" s="159">
        <v>0</v>
      </c>
      <c r="C60" s="140">
        <v>3</v>
      </c>
      <c r="D60" s="140">
        <v>6</v>
      </c>
      <c r="E60" s="140">
        <v>52</v>
      </c>
      <c r="F60" s="140">
        <v>48</v>
      </c>
      <c r="G60" s="140">
        <v>121</v>
      </c>
      <c r="H60" s="140">
        <v>8</v>
      </c>
      <c r="I60" s="140">
        <v>64</v>
      </c>
      <c r="J60" s="140">
        <v>11</v>
      </c>
    </row>
  </sheetData>
  <sheetProtection formatColumns="0" formatRows="0" insertRows="0" deleteColumns="0" deleteRows="0" sort="0" autoFilter="0"/>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xr:uid="{00000000-0002-0000-0600-000000000000}">
      <formula1>"a"</formula1>
    </dataValidation>
    <dataValidation type="textLength" operator="lessThanOrEqual" allowBlank="1" showInputMessage="1" showErrorMessage="1" errorTitle="Ошибка" error="Допускается ввод не более 900 символов!" sqref="F13 F43:F44 F27:F32 F16 E40:F41 F18 F20 F34:F38 F22:F23" xr:uid="{00000000-0002-0000-0600-00000100000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xr:uid="{00000000-0002-0000-0600-00000200000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EE7F54-5E6D-897E-34B2-2A33FB6DBC78}">
  <sheetPr>
    <tabColor theme="3" tint="0.59999389629810485"/>
  </sheetPr>
  <dimension ref="A1:AT18"/>
  <sheetViews>
    <sheetView showGridLines="0" zoomScale="90" workbookViewId="0">
      <pane xSplit="5" ySplit="11" topLeftCell="F12" activePane="bottomRight" state="frozen"/>
      <selection pane="topRight" activeCell="F1" sqref="F1"/>
      <selection pane="bottomLeft" activeCell="A12" sqref="A12"/>
      <selection pane="bottomRight"/>
    </sheetView>
  </sheetViews>
  <sheetFormatPr defaultColWidth="10.5703125" defaultRowHeight="14.25" customHeight="1"/>
  <cols>
    <col min="1" max="1" width="9.140625" style="7" hidden="1" customWidth="1"/>
    <col min="2" max="2" width="9.140625" style="4" hidden="1" customWidth="1"/>
    <col min="3" max="3" width="3" style="16" customWidth="1"/>
    <col min="4" max="4" width="5" style="4" customWidth="1"/>
    <col min="5" max="5" width="48" style="4" customWidth="1"/>
    <col min="6" max="6" width="38" style="4" customWidth="1"/>
    <col min="7" max="7" width="1.7109375" style="4" hidden="1" customWidth="1"/>
    <col min="8" max="11" width="19.85546875" style="4" customWidth="1"/>
    <col min="12" max="12" width="9.7109375" style="4" customWidth="1"/>
    <col min="13" max="18" width="19.85546875" style="4" customWidth="1"/>
    <col min="19" max="19" width="1.7109375" style="4" hidden="1" customWidth="1"/>
    <col min="20" max="22" width="19.85546875" style="4" hidden="1" customWidth="1"/>
    <col min="23" max="23" width="1.7109375" style="4" hidden="1" customWidth="1"/>
    <col min="24" max="26" width="19.85546875" style="4" hidden="1" customWidth="1"/>
    <col min="27" max="27" width="1.7109375" style="4" hidden="1" customWidth="1"/>
    <col min="28" max="29" width="19.85546875" style="4" hidden="1" customWidth="1"/>
    <col min="30" max="30" width="1.7109375" style="4" hidden="1" customWidth="1"/>
    <col min="31" max="31" width="103.7109375" style="4" customWidth="1"/>
    <col min="32" max="34" width="103.7109375" style="4" hidden="1" customWidth="1"/>
    <col min="35" max="35" width="3" style="32" customWidth="1"/>
    <col min="36" max="38" width="10" style="46" customWidth="1"/>
    <col min="39" max="39" width="13.7109375" style="46" hidden="1" customWidth="1"/>
    <col min="40" max="40" width="15" style="46" customWidth="1"/>
    <col min="41" max="41" width="16" style="46" customWidth="1"/>
    <col min="42" max="45" width="10" style="46" customWidth="1"/>
    <col min="46" max="46" width="10.5703125" style="4" hidden="1"/>
  </cols>
  <sheetData>
    <row r="1" spans="1:46" ht="22.5" hidden="1" customHeight="1">
      <c r="E1" s="22"/>
      <c r="F1" s="22"/>
      <c r="G1" s="22"/>
      <c r="H1" s="732" t="s">
        <v>355</v>
      </c>
      <c r="I1" s="732"/>
      <c r="J1" s="732"/>
      <c r="K1" s="732"/>
      <c r="L1" s="732"/>
      <c r="M1" s="732"/>
      <c r="N1" s="732"/>
      <c r="O1" s="732"/>
      <c r="P1" s="732"/>
      <c r="Q1" s="732"/>
      <c r="R1" s="732"/>
      <c r="T1" s="732" t="s">
        <v>356</v>
      </c>
      <c r="U1" s="732"/>
      <c r="V1" s="732"/>
      <c r="X1" s="732" t="s">
        <v>357</v>
      </c>
      <c r="Y1" s="732"/>
      <c r="Z1" s="732"/>
      <c r="AB1" s="732" t="s">
        <v>358</v>
      </c>
      <c r="AC1" s="732"/>
      <c r="AT1" s="4" t="s">
        <v>14</v>
      </c>
    </row>
    <row r="2" spans="1:46" ht="14.25" hidden="1" customHeight="1">
      <c r="AT2" s="4">
        <v>0</v>
      </c>
    </row>
    <row r="3" spans="1:46" s="227" customFormat="1" ht="5.25" customHeight="1">
      <c r="C3" s="228"/>
      <c r="D3" s="228"/>
      <c r="E3" s="228"/>
      <c r="F3" s="228"/>
      <c r="G3" s="228"/>
      <c r="H3" s="228" t="s">
        <v>359</v>
      </c>
      <c r="I3" s="228"/>
      <c r="J3" s="228"/>
      <c r="K3" s="228"/>
      <c r="L3" s="228"/>
      <c r="M3" s="228"/>
      <c r="N3" s="228"/>
      <c r="O3" s="228"/>
      <c r="P3" s="228"/>
      <c r="Q3" s="228"/>
      <c r="R3" s="228"/>
      <c r="S3" s="228"/>
      <c r="T3" s="228"/>
      <c r="U3" s="228"/>
      <c r="V3" s="228"/>
      <c r="W3" s="228"/>
      <c r="X3" s="228"/>
      <c r="Y3" s="228"/>
      <c r="Z3" s="228"/>
      <c r="AA3" s="228"/>
      <c r="AB3" s="228"/>
      <c r="AC3" s="228"/>
      <c r="AD3" s="228"/>
      <c r="AE3" s="228"/>
      <c r="AF3" s="228"/>
      <c r="AG3" s="228"/>
      <c r="AH3" s="228"/>
      <c r="AJ3" s="46"/>
      <c r="AK3" s="46"/>
      <c r="AL3" s="46"/>
      <c r="AM3" s="46"/>
      <c r="AN3" s="46"/>
      <c r="AO3" s="46"/>
      <c r="AP3" s="46"/>
      <c r="AQ3" s="46"/>
      <c r="AR3" s="46"/>
      <c r="AS3" s="46"/>
      <c r="AT3" s="227">
        <v>5</v>
      </c>
    </row>
    <row r="4" spans="1:46" ht="39.75" customHeight="1">
      <c r="C4" s="15"/>
      <c r="D4" s="672" t="str">
        <f>ORG_VD_NAME_FORM</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E4" s="673"/>
      <c r="F4" s="673"/>
      <c r="G4" s="673"/>
      <c r="H4" s="673"/>
      <c r="I4" s="673"/>
      <c r="J4" s="673"/>
      <c r="K4" s="673"/>
      <c r="L4" s="673"/>
      <c r="M4" s="673"/>
      <c r="N4" s="673"/>
      <c r="O4" s="673"/>
      <c r="P4" s="673"/>
      <c r="Q4" s="673"/>
      <c r="R4" s="674"/>
      <c r="S4" s="40"/>
      <c r="T4" s="40"/>
      <c r="U4" s="40"/>
      <c r="V4" s="40"/>
      <c r="W4" s="40"/>
      <c r="X4" s="40"/>
      <c r="Y4" s="40"/>
      <c r="Z4" s="40"/>
      <c r="AA4" s="40"/>
      <c r="AB4" s="40"/>
      <c r="AC4" s="40"/>
      <c r="AD4" s="40"/>
      <c r="AE4" s="92"/>
      <c r="AF4" s="92"/>
      <c r="AG4" s="92"/>
      <c r="AH4" s="92"/>
      <c r="AI4" s="92"/>
      <c r="AT4" s="4">
        <v>38</v>
      </c>
    </row>
    <row r="5" spans="1:46" s="4" customFormat="1" ht="18" customHeight="1">
      <c r="A5" s="7"/>
      <c r="C5" s="15"/>
      <c r="D5" s="675" t="str">
        <f>IF(org=0,"Не определено",org)</f>
        <v>ООО "Восточная Тепловая компания"</v>
      </c>
      <c r="E5" s="676"/>
      <c r="F5" s="676"/>
      <c r="G5" s="676"/>
      <c r="H5" s="676"/>
      <c r="I5" s="676"/>
      <c r="J5" s="676"/>
      <c r="K5" s="676"/>
      <c r="L5" s="676"/>
      <c r="M5" s="676"/>
      <c r="N5" s="676"/>
      <c r="O5" s="676"/>
      <c r="P5" s="676"/>
      <c r="Q5" s="676"/>
      <c r="R5" s="677"/>
      <c r="S5" s="40"/>
      <c r="T5" s="40"/>
      <c r="U5" s="40"/>
      <c r="V5" s="40"/>
      <c r="W5" s="40"/>
      <c r="X5" s="40"/>
      <c r="Y5" s="40"/>
      <c r="Z5" s="40"/>
      <c r="AA5" s="40"/>
      <c r="AB5" s="40"/>
      <c r="AC5" s="40"/>
      <c r="AD5" s="40"/>
      <c r="AE5" s="92"/>
      <c r="AF5" s="92"/>
      <c r="AG5" s="92"/>
      <c r="AH5" s="92"/>
      <c r="AI5" s="92"/>
      <c r="AJ5" s="46"/>
      <c r="AK5" s="46"/>
      <c r="AL5" s="46"/>
      <c r="AM5" s="46"/>
      <c r="AN5" s="46"/>
      <c r="AO5" s="46"/>
      <c r="AP5" s="46"/>
      <c r="AQ5" s="46"/>
      <c r="AR5" s="46"/>
      <c r="AS5" s="46"/>
      <c r="AT5" s="4">
        <v>17</v>
      </c>
    </row>
    <row r="6" spans="1:46" s="85" customFormat="1" ht="11.45" customHeight="1">
      <c r="A6" s="81"/>
      <c r="C6" s="152"/>
      <c r="R6" s="247"/>
      <c r="S6" s="247"/>
      <c r="V6" s="4"/>
      <c r="W6" s="4"/>
      <c r="Z6" s="4"/>
      <c r="AA6" s="4"/>
      <c r="AC6" s="4"/>
      <c r="AD6" s="4"/>
      <c r="AJ6" s="46"/>
      <c r="AK6" s="46"/>
      <c r="AL6" s="46"/>
      <c r="AM6" s="46"/>
      <c r="AN6" s="46"/>
      <c r="AO6" s="46"/>
      <c r="AP6" s="46"/>
      <c r="AQ6" s="46"/>
      <c r="AR6" s="46"/>
      <c r="AS6" s="46"/>
      <c r="AT6" s="85">
        <v>11</v>
      </c>
    </row>
    <row r="7" spans="1:46" ht="14.65" customHeight="1">
      <c r="C7" s="15"/>
      <c r="D7" s="728" t="s">
        <v>303</v>
      </c>
      <c r="E7" s="733"/>
      <c r="F7" s="733"/>
      <c r="G7" s="733"/>
      <c r="H7" s="733"/>
      <c r="I7" s="733"/>
      <c r="J7" s="733"/>
      <c r="K7" s="733"/>
      <c r="L7" s="733"/>
      <c r="M7" s="733"/>
      <c r="N7" s="733"/>
      <c r="O7" s="733"/>
      <c r="P7" s="733"/>
      <c r="Q7" s="733"/>
      <c r="R7" s="733"/>
      <c r="S7" s="733"/>
      <c r="T7" s="733"/>
      <c r="U7" s="733"/>
      <c r="V7" s="733"/>
      <c r="W7" s="733"/>
      <c r="X7" s="733"/>
      <c r="Y7" s="733"/>
      <c r="Z7" s="733"/>
      <c r="AA7" s="733"/>
      <c r="AB7" s="733"/>
      <c r="AC7" s="733"/>
      <c r="AD7" s="734"/>
      <c r="AE7" s="698" t="s">
        <v>304</v>
      </c>
      <c r="AF7" s="698" t="s">
        <v>304</v>
      </c>
      <c r="AG7" s="698" t="s">
        <v>304</v>
      </c>
      <c r="AH7" s="698" t="s">
        <v>304</v>
      </c>
      <c r="AT7" s="4">
        <v>14</v>
      </c>
    </row>
    <row r="8" spans="1:46" ht="27.4" customHeight="1">
      <c r="C8" s="15"/>
      <c r="D8" s="679" t="s">
        <v>88</v>
      </c>
      <c r="E8" s="698" t="str">
        <f>"Наименование "&amp;IF(TEMPLATE_SPHERE&lt;&gt;"HEAT","централизованной ","")&amp;"системы "&amp;TEMPLATE_SPHERE_RUS</f>
        <v>Наименование системы теплоснабжения</v>
      </c>
      <c r="F8" s="698" t="str">
        <f>IF(TEMPLATE_SPHERE&lt;&gt;"HEAT","Регулируемый вид деятельности","Вид регулируемой деятельности")</f>
        <v>Вид регулируемой деятельности</v>
      </c>
      <c r="G8" s="274"/>
      <c r="H8" s="702" t="s">
        <v>360</v>
      </c>
      <c r="I8" s="699" t="s">
        <v>361</v>
      </c>
      <c r="J8" s="698" t="s">
        <v>362</v>
      </c>
      <c r="K8" s="698"/>
      <c r="L8" s="698"/>
      <c r="M8" s="728"/>
      <c r="N8" s="698" t="s">
        <v>363</v>
      </c>
      <c r="O8" s="698"/>
      <c r="P8" s="698" t="s">
        <v>364</v>
      </c>
      <c r="Q8" s="698"/>
      <c r="R8" s="729" t="s">
        <v>365</v>
      </c>
      <c r="S8" s="272"/>
      <c r="T8" s="702" t="s">
        <v>366</v>
      </c>
      <c r="U8" s="702" t="s">
        <v>367</v>
      </c>
      <c r="V8" s="702" t="s">
        <v>368</v>
      </c>
      <c r="W8" s="274"/>
      <c r="X8" s="702" t="s">
        <v>369</v>
      </c>
      <c r="Y8" s="702" t="s">
        <v>370</v>
      </c>
      <c r="Z8" s="702" t="s">
        <v>371</v>
      </c>
      <c r="AA8" s="274"/>
      <c r="AB8" s="702" t="s">
        <v>372</v>
      </c>
      <c r="AC8" s="702" t="s">
        <v>365</v>
      </c>
      <c r="AD8" s="274"/>
      <c r="AE8" s="698"/>
      <c r="AF8" s="698"/>
      <c r="AG8" s="698"/>
      <c r="AH8" s="698"/>
      <c r="AT8" s="4">
        <v>26</v>
      </c>
    </row>
    <row r="9" spans="1:46" ht="46.15" customHeight="1">
      <c r="C9" s="15"/>
      <c r="D9" s="679"/>
      <c r="E9" s="698"/>
      <c r="F9" s="698"/>
      <c r="G9" s="275"/>
      <c r="H9" s="704"/>
      <c r="I9" s="731"/>
      <c r="J9" s="27" t="s">
        <v>373</v>
      </c>
      <c r="K9" s="27" t="s">
        <v>374</v>
      </c>
      <c r="L9" s="27" t="s">
        <v>375</v>
      </c>
      <c r="M9" s="103" t="s">
        <v>376</v>
      </c>
      <c r="N9" s="27" t="s">
        <v>377</v>
      </c>
      <c r="O9" s="27" t="s">
        <v>376</v>
      </c>
      <c r="P9" s="27" t="s">
        <v>378</v>
      </c>
      <c r="Q9" s="27" t="s">
        <v>376</v>
      </c>
      <c r="R9" s="730"/>
      <c r="S9" s="273"/>
      <c r="T9" s="704"/>
      <c r="U9" s="704"/>
      <c r="V9" s="704"/>
      <c r="W9" s="275"/>
      <c r="X9" s="704"/>
      <c r="Y9" s="704"/>
      <c r="Z9" s="704"/>
      <c r="AA9" s="275"/>
      <c r="AB9" s="704"/>
      <c r="AC9" s="704"/>
      <c r="AD9" s="275"/>
      <c r="AE9" s="698"/>
      <c r="AF9" s="698"/>
      <c r="AG9" s="698"/>
      <c r="AH9" s="698"/>
      <c r="AT9" s="4">
        <v>44</v>
      </c>
    </row>
    <row r="10" spans="1:46" ht="12" hidden="1" customHeight="1">
      <c r="C10" s="144"/>
      <c r="D10" s="14"/>
      <c r="E10" s="14"/>
      <c r="F10" s="14"/>
      <c r="G10" s="14"/>
      <c r="H10" s="14"/>
      <c r="I10" s="14"/>
      <c r="J10" s="14"/>
      <c r="K10" s="14"/>
      <c r="L10" s="14"/>
      <c r="M10" s="14"/>
      <c r="N10" s="14"/>
      <c r="O10" s="14"/>
      <c r="P10" s="14"/>
      <c r="Q10" s="14"/>
      <c r="R10" s="14"/>
      <c r="S10" s="14"/>
      <c r="T10" s="14"/>
      <c r="U10" s="14"/>
      <c r="V10" s="14"/>
      <c r="W10" s="14"/>
      <c r="X10" s="14"/>
      <c r="Y10" s="14"/>
      <c r="Z10" s="14"/>
      <c r="AA10" s="14"/>
      <c r="AB10" s="14"/>
      <c r="AC10" s="14"/>
      <c r="AD10" s="14"/>
      <c r="AE10" s="14"/>
      <c r="AF10" s="14"/>
      <c r="AG10" s="14"/>
      <c r="AH10" s="14"/>
      <c r="AI10" s="4"/>
      <c r="AT10" s="4">
        <v>0</v>
      </c>
    </row>
    <row r="11" spans="1:46" s="117" customFormat="1" ht="11.25" hidden="1" customHeight="1">
      <c r="C11" s="157"/>
      <c r="D11" s="158" t="s">
        <v>379</v>
      </c>
      <c r="E11" s="158"/>
      <c r="F11" s="158"/>
      <c r="G11" s="158"/>
      <c r="H11" s="156"/>
      <c r="I11" s="156"/>
      <c r="J11" s="156"/>
      <c r="K11" s="156"/>
      <c r="L11" s="156"/>
      <c r="M11" s="156"/>
      <c r="N11" s="156"/>
      <c r="O11" s="156"/>
      <c r="P11" s="156"/>
      <c r="Q11" s="156"/>
      <c r="R11" s="156"/>
      <c r="S11" s="156"/>
      <c r="T11" s="156"/>
      <c r="U11" s="156"/>
      <c r="V11" s="156"/>
      <c r="W11" s="156"/>
      <c r="X11" s="156"/>
      <c r="Y11" s="156"/>
      <c r="Z11" s="156"/>
      <c r="AA11" s="156"/>
      <c r="AB11" s="156"/>
      <c r="AC11" s="156"/>
      <c r="AD11" s="156"/>
      <c r="AE11" s="49"/>
      <c r="AF11" s="49"/>
      <c r="AG11" s="49"/>
      <c r="AH11" s="49"/>
      <c r="AJ11" s="46"/>
      <c r="AK11" s="46"/>
      <c r="AL11" s="46"/>
      <c r="AM11" s="46"/>
      <c r="AN11" s="46"/>
      <c r="AO11" s="46"/>
      <c r="AP11" s="46"/>
      <c r="AQ11" s="46"/>
      <c r="AR11" s="46"/>
      <c r="AS11" s="46"/>
      <c r="AT11" s="117">
        <v>0</v>
      </c>
    </row>
    <row r="12" spans="1:46" ht="14.65" customHeight="1">
      <c r="A12" s="4"/>
      <c r="C12" s="15"/>
      <c r="D12" s="49" t="s">
        <v>110</v>
      </c>
      <c r="E12" s="226" t="s">
        <v>22</v>
      </c>
      <c r="F12" s="288"/>
      <c r="G12" s="289"/>
      <c r="H12" s="204"/>
      <c r="I12" s="204"/>
      <c r="J12" s="137"/>
      <c r="K12" s="589"/>
      <c r="L12" s="136"/>
      <c r="M12" s="589"/>
      <c r="N12" s="137"/>
      <c r="O12" s="589"/>
      <c r="P12" s="137"/>
      <c r="Q12" s="589"/>
      <c r="R12" s="137"/>
      <c r="S12" s="287"/>
      <c r="T12" s="204"/>
      <c r="U12" s="137"/>
      <c r="V12" s="137"/>
      <c r="W12" s="275"/>
      <c r="X12" s="204"/>
      <c r="Y12" s="137"/>
      <c r="Z12" s="137"/>
      <c r="AA12" s="275"/>
      <c r="AB12" s="204"/>
      <c r="AC12" s="137"/>
      <c r="AD12" s="275"/>
      <c r="AE12" s="702" t="s">
        <v>380</v>
      </c>
      <c r="AF12" s="702" t="s">
        <v>381</v>
      </c>
      <c r="AG12" s="702" t="s">
        <v>382</v>
      </c>
      <c r="AH12" s="702" t="s">
        <v>383</v>
      </c>
      <c r="AI12" s="4"/>
      <c r="AP12" s="46" t="s">
        <v>384</v>
      </c>
      <c r="AQ12" s="46" t="s">
        <v>384</v>
      </c>
      <c r="AT12" s="4">
        <v>14</v>
      </c>
    </row>
    <row r="13" spans="1:46" ht="18" customHeight="1">
      <c r="A13" s="4"/>
      <c r="C13" s="15"/>
      <c r="D13" s="91"/>
      <c r="E13" s="106" t="str">
        <f>IF(TITLE_DIFFERENTIATION_TYPE="нет","","Добавить систему")</f>
        <v/>
      </c>
      <c r="F13" s="106" t="str">
        <f>IF(TITLE_DIFFERENTIATION_TYPE="нет","Добавить вид деятельности","")</f>
        <v>Добавить вид деятельности</v>
      </c>
      <c r="G13" s="37"/>
      <c r="H13" s="133"/>
      <c r="I13" s="133"/>
      <c r="J13" s="133"/>
      <c r="K13" s="133"/>
      <c r="L13" s="133"/>
      <c r="M13" s="133"/>
      <c r="N13" s="133"/>
      <c r="O13" s="133"/>
      <c r="P13" s="133"/>
      <c r="Q13" s="133"/>
      <c r="R13" s="133"/>
      <c r="S13" s="133"/>
      <c r="T13" s="133"/>
      <c r="U13" s="133"/>
      <c r="V13" s="133"/>
      <c r="W13" s="133"/>
      <c r="X13" s="133"/>
      <c r="Y13" s="133"/>
      <c r="Z13" s="133"/>
      <c r="AA13" s="133"/>
      <c r="AB13" s="133"/>
      <c r="AC13" s="133"/>
      <c r="AD13" s="132"/>
      <c r="AE13" s="704"/>
      <c r="AF13" s="704"/>
      <c r="AG13" s="704"/>
      <c r="AH13" s="704"/>
      <c r="AI13" s="4"/>
      <c r="AT13" s="4">
        <v>17</v>
      </c>
    </row>
    <row r="14" spans="1:46" ht="14.65" customHeight="1">
      <c r="AI14" s="4"/>
      <c r="AT14" s="4">
        <v>14</v>
      </c>
    </row>
    <row r="15" spans="1:46" ht="14.65" customHeight="1">
      <c r="AT15" s="4">
        <v>14</v>
      </c>
    </row>
    <row r="16" spans="1:46" ht="14.65" customHeight="1">
      <c r="AT16" s="4">
        <v>14</v>
      </c>
    </row>
    <row r="17" spans="1:46" ht="14.65" customHeight="1">
      <c r="AT17" s="4">
        <v>14</v>
      </c>
    </row>
    <row r="18" spans="1:46" ht="22.5" hidden="1" customHeight="1">
      <c r="A18" s="7" t="s">
        <v>82</v>
      </c>
      <c r="B18" s="4">
        <v>0</v>
      </c>
      <c r="C18" s="16">
        <v>3</v>
      </c>
      <c r="D18" s="4">
        <v>5</v>
      </c>
      <c r="E18" s="4">
        <v>48</v>
      </c>
      <c r="F18" s="4">
        <v>38</v>
      </c>
      <c r="G18" s="4">
        <v>0</v>
      </c>
      <c r="H18" s="4">
        <v>0</v>
      </c>
      <c r="I18" s="4">
        <v>0</v>
      </c>
      <c r="J18" s="4">
        <v>0</v>
      </c>
      <c r="K18" s="4">
        <v>0</v>
      </c>
      <c r="L18" s="4">
        <v>0</v>
      </c>
      <c r="M18" s="4">
        <v>0</v>
      </c>
      <c r="N18" s="4">
        <v>0</v>
      </c>
      <c r="O18" s="4">
        <v>0</v>
      </c>
      <c r="P18" s="4">
        <v>0</v>
      </c>
      <c r="Q18" s="4">
        <v>0</v>
      </c>
      <c r="R18" s="4">
        <v>0</v>
      </c>
      <c r="S18" s="4">
        <v>0</v>
      </c>
      <c r="T18" s="4">
        <v>0</v>
      </c>
      <c r="U18" s="4">
        <v>0</v>
      </c>
      <c r="V18" s="4">
        <v>0</v>
      </c>
      <c r="W18" s="4">
        <v>0</v>
      </c>
      <c r="X18" s="4">
        <v>0</v>
      </c>
      <c r="Y18" s="4">
        <v>0</v>
      </c>
      <c r="Z18" s="4">
        <v>0</v>
      </c>
      <c r="AA18" s="4">
        <v>0</v>
      </c>
      <c r="AB18" s="4">
        <v>0</v>
      </c>
      <c r="AC18" s="4">
        <v>0</v>
      </c>
      <c r="AD18" s="4">
        <v>0</v>
      </c>
      <c r="AE18" s="4">
        <v>0</v>
      </c>
      <c r="AF18" s="4">
        <v>0</v>
      </c>
      <c r="AG18" s="4">
        <v>0</v>
      </c>
      <c r="AH18" s="4">
        <v>0</v>
      </c>
      <c r="AI18" s="32">
        <v>3</v>
      </c>
      <c r="AJ18" s="46">
        <v>10</v>
      </c>
      <c r="AK18" s="46">
        <v>10</v>
      </c>
      <c r="AL18" s="46">
        <v>10</v>
      </c>
      <c r="AM18" s="46">
        <v>0</v>
      </c>
      <c r="AN18" s="46">
        <v>15</v>
      </c>
      <c r="AO18" s="46">
        <v>16</v>
      </c>
      <c r="AP18" s="46">
        <v>10</v>
      </c>
      <c r="AQ18" s="46">
        <v>10</v>
      </c>
      <c r="AR18" s="46">
        <v>10</v>
      </c>
      <c r="AS18" s="46">
        <v>10</v>
      </c>
      <c r="AT18" s="4">
        <v>23</v>
      </c>
    </row>
  </sheetData>
  <sheetProtection formatColumns="0" formatRows="0" insertRows="0" deleteColumns="0" deleteRows="0" sort="0" autoFilter="0"/>
  <mergeCells count="32">
    <mergeCell ref="D5:R5"/>
    <mergeCell ref="H1:R1"/>
    <mergeCell ref="D7:AD7"/>
    <mergeCell ref="X1:Z1"/>
    <mergeCell ref="T1:V1"/>
    <mergeCell ref="AB1:AC1"/>
    <mergeCell ref="D4:R4"/>
    <mergeCell ref="AE12:AE13"/>
    <mergeCell ref="AG7:AG9"/>
    <mergeCell ref="AG12:AG13"/>
    <mergeCell ref="AH7:AH9"/>
    <mergeCell ref="AH12:AH13"/>
    <mergeCell ref="AF12:AF13"/>
    <mergeCell ref="AF7:AF9"/>
    <mergeCell ref="AE7:AE9"/>
    <mergeCell ref="D8:D9"/>
    <mergeCell ref="E8:E9"/>
    <mergeCell ref="F8:F9"/>
    <mergeCell ref="H8:H9"/>
    <mergeCell ref="I8:I9"/>
    <mergeCell ref="J8:M8"/>
    <mergeCell ref="N8:O8"/>
    <mergeCell ref="AB8:AB9"/>
    <mergeCell ref="AC8:AC9"/>
    <mergeCell ref="T8:T9"/>
    <mergeCell ref="U8:U9"/>
    <mergeCell ref="V8:V9"/>
    <mergeCell ref="P8:Q8"/>
    <mergeCell ref="R8:R9"/>
    <mergeCell ref="X8:X9"/>
    <mergeCell ref="Y8:Y9"/>
    <mergeCell ref="Z8:Z9"/>
  </mergeCells>
  <dataValidations count="6">
    <dataValidation allowBlank="1" showErrorMessage="1" errorTitle="Ошибка" error="Допускается ввод только неотрицательных чисел!" sqref="E11:G11" xr:uid="{00000000-0002-0000-0700-000000000000}"/>
    <dataValidation type="decimal" allowBlank="1" showErrorMessage="1" errorTitle="Ошибка" error="Допускается ввод только неотрицательных чисел!" sqref="H11:AD11 T12 H12:I12 AB12 X12 K12 M12 O12 Q12" xr:uid="{00000000-0002-0000-0700-000001000000}">
      <formula1>0</formula1>
      <formula2>9.99999999999999E+23</formula2>
    </dataValidation>
    <dataValidation type="textLength" operator="lessThanOrEqual" allowBlank="1" showInputMessage="1" showErrorMessage="1" errorTitle="Ошибка" error="Допускается ввод не более 900 символов!" sqref="E12" xr:uid="{00000000-0002-0000-0700-000002000000}">
      <formula1>900</formula1>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xr:uid="{00000000-0002-0000-0700-000003000000}"/>
    <dataValidation type="whole" allowBlank="1" showErrorMessage="1" errorTitle="Ошибка" error="Допускается ввод только неотрицательных целых чисел!" sqref="N12 P12 U12:V12 Y12:Z12 J12 R12:S12 AC12" xr:uid="{00000000-0002-0000-0700-000004000000}">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12" xr:uid="{00000000-0002-0000-0700-000005000000}">
      <formula1>kind_of_power_te_unit</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774BF8-706A-05D6-2812-1A35E14AD9E1}">
  <sheetPr>
    <tabColor theme="3" tint="0.59999389629810485"/>
  </sheetPr>
  <dimension ref="A1:V18"/>
  <sheetViews>
    <sheetView showGridLines="0" zoomScale="90" workbookViewId="0">
      <pane xSplit="4" ySplit="13" topLeftCell="E14" activePane="bottomRight" state="frozen"/>
      <selection pane="topRight" activeCell="E1" sqref="E1"/>
      <selection pane="bottomLeft" activeCell="A14" sqref="A14"/>
      <selection pane="bottomRight"/>
    </sheetView>
  </sheetViews>
  <sheetFormatPr defaultColWidth="10.5703125" defaultRowHeight="14.25" customHeight="1"/>
  <cols>
    <col min="1" max="1" width="9.140625" style="7" hidden="1" customWidth="1"/>
    <col min="2" max="2" width="9.140625" style="4" hidden="1" customWidth="1"/>
    <col min="3" max="3" width="3" style="16" customWidth="1"/>
    <col min="4" max="4" width="5" style="4" customWidth="1"/>
    <col min="5" max="5" width="38" style="4" customWidth="1"/>
    <col min="6" max="7" width="3" style="4" customWidth="1"/>
    <col min="8" max="8" width="38" style="4" customWidth="1"/>
    <col min="9" max="9" width="35" style="4" customWidth="1"/>
    <col min="10" max="10" width="103" style="4" customWidth="1"/>
    <col min="11" max="11" width="3" style="32" customWidth="1"/>
    <col min="12" max="14" width="10" style="46" customWidth="1"/>
    <col min="15" max="15" width="13" style="46" customWidth="1"/>
    <col min="16" max="16" width="15" style="46" customWidth="1"/>
    <col min="17" max="17" width="16" style="46" customWidth="1"/>
    <col min="18" max="21" width="10" style="46" customWidth="1"/>
    <col min="22" max="22" width="10.5703125" style="4" hidden="1"/>
  </cols>
  <sheetData>
    <row r="1" spans="1:22" ht="22.5" hidden="1" customHeight="1">
      <c r="E1" s="22"/>
      <c r="F1" s="22"/>
      <c r="G1" s="22"/>
      <c r="H1" s="732" t="s">
        <v>355</v>
      </c>
      <c r="I1" s="732"/>
      <c r="V1" s="4" t="s">
        <v>14</v>
      </c>
    </row>
    <row r="2" spans="1:22" s="4" customFormat="1" ht="14.25" hidden="1" customHeight="1">
      <c r="C2" s="15"/>
      <c r="D2" s="699" t="s">
        <v>110</v>
      </c>
      <c r="E2" s="735"/>
      <c r="F2" s="511"/>
      <c r="G2" s="31" t="s">
        <v>110</v>
      </c>
      <c r="H2" s="74"/>
      <c r="I2" s="512"/>
      <c r="L2" s="46"/>
      <c r="M2" s="46"/>
      <c r="N2" s="46"/>
      <c r="O2" s="46" t="s">
        <v>385</v>
      </c>
      <c r="P2" s="46"/>
      <c r="Q2" s="46"/>
      <c r="R2" s="46" t="s">
        <v>384</v>
      </c>
      <c r="S2" s="46" t="s">
        <v>384</v>
      </c>
      <c r="T2" s="46"/>
      <c r="U2" s="46"/>
      <c r="V2" s="4">
        <v>0</v>
      </c>
    </row>
    <row r="3" spans="1:22" s="4" customFormat="1" ht="14.25" hidden="1" customHeight="1">
      <c r="C3" s="15"/>
      <c r="D3" s="731"/>
      <c r="E3" s="736"/>
      <c r="F3" s="91"/>
      <c r="G3" s="106"/>
      <c r="H3" s="106" t="s">
        <v>386</v>
      </c>
      <c r="I3" s="37"/>
      <c r="L3" s="46"/>
      <c r="M3" s="46"/>
      <c r="N3" s="46"/>
      <c r="O3" s="46"/>
      <c r="P3" s="46"/>
      <c r="Q3" s="46"/>
      <c r="R3" s="46"/>
      <c r="S3" s="46"/>
      <c r="T3" s="46"/>
      <c r="U3" s="46"/>
      <c r="V3" s="4">
        <v>0</v>
      </c>
    </row>
    <row r="4" spans="1:22" ht="14.25" hidden="1" customHeight="1">
      <c r="V4" s="4">
        <v>0</v>
      </c>
    </row>
    <row r="5" spans="1:22" s="227" customFormat="1" ht="5.25" customHeight="1">
      <c r="C5" s="228"/>
      <c r="D5" s="228"/>
      <c r="E5" s="228"/>
      <c r="F5" s="228"/>
      <c r="G5" s="228"/>
      <c r="H5" s="228" t="s">
        <v>359</v>
      </c>
      <c r="I5" s="228"/>
      <c r="J5" s="228"/>
      <c r="L5" s="46"/>
      <c r="M5" s="46"/>
      <c r="N5" s="46"/>
      <c r="O5" s="46"/>
      <c r="P5" s="46"/>
      <c r="Q5" s="46"/>
      <c r="R5" s="46"/>
      <c r="S5" s="46"/>
      <c r="T5" s="46"/>
      <c r="U5" s="46"/>
      <c r="V5" s="227">
        <v>5</v>
      </c>
    </row>
    <row r="6" spans="1:22" ht="29.25" customHeight="1">
      <c r="C6" s="15"/>
      <c r="D6" s="697" t="s">
        <v>387</v>
      </c>
      <c r="E6" s="697"/>
      <c r="F6" s="697"/>
      <c r="G6" s="697"/>
      <c r="H6" s="697"/>
      <c r="I6" s="697"/>
      <c r="J6" s="92"/>
      <c r="K6" s="92"/>
      <c r="V6" s="4">
        <v>28</v>
      </c>
    </row>
    <row r="7" spans="1:22" ht="18" customHeight="1">
      <c r="C7" s="15"/>
      <c r="D7" s="712" t="str">
        <f>IF(org=0,"Не определено",org)</f>
        <v>ООО "Восточная Тепловая компания"</v>
      </c>
      <c r="E7" s="712"/>
      <c r="F7" s="712"/>
      <c r="G7" s="712"/>
      <c r="H7" s="712"/>
      <c r="I7" s="712"/>
      <c r="J7" s="92"/>
      <c r="K7" s="92"/>
      <c r="V7" s="4">
        <v>17</v>
      </c>
    </row>
    <row r="8" spans="1:22" s="85" customFormat="1" ht="5.25" customHeight="1">
      <c r="A8" s="81"/>
      <c r="C8" s="152"/>
      <c r="L8" s="46"/>
      <c r="M8" s="46"/>
      <c r="N8" s="46"/>
      <c r="O8" s="46"/>
      <c r="P8" s="46"/>
      <c r="Q8" s="46"/>
      <c r="R8" s="46"/>
      <c r="S8" s="46"/>
      <c r="T8" s="46"/>
      <c r="U8" s="46"/>
      <c r="V8" s="85">
        <v>5</v>
      </c>
    </row>
    <row r="9" spans="1:22" s="85" customFormat="1" ht="5.25" customHeight="1">
      <c r="A9" s="81"/>
      <c r="C9" s="152"/>
      <c r="L9" s="46"/>
      <c r="M9" s="46"/>
      <c r="N9" s="46"/>
      <c r="O9" s="46"/>
      <c r="P9" s="46"/>
      <c r="Q9" s="46"/>
      <c r="R9" s="46"/>
      <c r="S9" s="46"/>
      <c r="T9" s="46"/>
      <c r="U9" s="46"/>
      <c r="V9" s="85">
        <v>5</v>
      </c>
    </row>
    <row r="10" spans="1:22" ht="14.65" customHeight="1">
      <c r="C10" s="15"/>
      <c r="D10" s="728" t="s">
        <v>303</v>
      </c>
      <c r="E10" s="733"/>
      <c r="F10" s="733"/>
      <c r="G10" s="733"/>
      <c r="H10" s="733"/>
      <c r="I10" s="733"/>
      <c r="J10" s="698" t="s">
        <v>304</v>
      </c>
      <c r="V10" s="4">
        <v>14</v>
      </c>
    </row>
    <row r="11" spans="1:22" ht="27.4" customHeight="1">
      <c r="C11" s="15"/>
      <c r="D11" s="679" t="s">
        <v>88</v>
      </c>
      <c r="E11" s="698" t="s">
        <v>106</v>
      </c>
      <c r="F11" s="674" t="s">
        <v>88</v>
      </c>
      <c r="G11" s="672"/>
      <c r="H11" s="673" t="s">
        <v>388</v>
      </c>
      <c r="I11" s="673" t="s">
        <v>389</v>
      </c>
      <c r="J11" s="698"/>
      <c r="V11" s="4">
        <v>26</v>
      </c>
    </row>
    <row r="12" spans="1:22" ht="14.65" customHeight="1">
      <c r="C12" s="15"/>
      <c r="D12" s="679"/>
      <c r="E12" s="698"/>
      <c r="F12" s="677"/>
      <c r="G12" s="675"/>
      <c r="H12" s="676"/>
      <c r="I12" s="676"/>
      <c r="J12" s="698"/>
      <c r="V12" s="4">
        <v>14</v>
      </c>
    </row>
    <row r="13" spans="1:22" s="117" customFormat="1" ht="11.25" hidden="1" customHeight="1">
      <c r="C13" s="157"/>
      <c r="D13" s="158" t="s">
        <v>379</v>
      </c>
      <c r="E13" s="158"/>
      <c r="F13" s="158"/>
      <c r="G13" s="158"/>
      <c r="H13" s="156"/>
      <c r="I13" s="156"/>
      <c r="J13" s="49"/>
      <c r="L13" s="46"/>
      <c r="M13" s="46"/>
      <c r="N13" s="46"/>
      <c r="O13" s="46"/>
      <c r="P13" s="46"/>
      <c r="Q13" s="46"/>
      <c r="R13" s="46"/>
      <c r="S13" s="46"/>
      <c r="T13" s="46"/>
      <c r="U13" s="46"/>
      <c r="V13" s="117">
        <v>0</v>
      </c>
    </row>
    <row r="14" spans="1:22" ht="14.65" customHeight="1">
      <c r="A14" s="4"/>
      <c r="C14" s="15"/>
      <c r="D14" s="699" t="s">
        <v>110</v>
      </c>
      <c r="E14" s="735"/>
      <c r="F14" s="511"/>
      <c r="G14" s="31" t="s">
        <v>110</v>
      </c>
      <c r="H14" s="74"/>
      <c r="I14" s="512"/>
      <c r="J14" s="673" t="s">
        <v>390</v>
      </c>
      <c r="K14" s="4"/>
      <c r="R14" s="46" t="s">
        <v>384</v>
      </c>
      <c r="S14" s="46" t="s">
        <v>384</v>
      </c>
      <c r="V14" s="4">
        <v>14</v>
      </c>
    </row>
    <row r="15" spans="1:22" ht="14.65" customHeight="1">
      <c r="A15" s="4"/>
      <c r="C15" s="15"/>
      <c r="D15" s="731"/>
      <c r="E15" s="736"/>
      <c r="F15" s="91"/>
      <c r="G15" s="106"/>
      <c r="H15" s="106" t="s">
        <v>386</v>
      </c>
      <c r="I15" s="37"/>
      <c r="J15" s="705"/>
      <c r="K15" s="4"/>
      <c r="V15" s="4">
        <v>14</v>
      </c>
    </row>
    <row r="16" spans="1:22" ht="14.65" customHeight="1">
      <c r="A16" s="4"/>
      <c r="C16" s="15"/>
      <c r="D16" s="91"/>
      <c r="E16" s="106" t="s">
        <v>126</v>
      </c>
      <c r="F16" s="37"/>
      <c r="G16" s="37"/>
      <c r="H16" s="133"/>
      <c r="I16" s="133"/>
      <c r="J16" s="676"/>
      <c r="K16" s="4"/>
      <c r="V16" s="4">
        <v>14</v>
      </c>
    </row>
    <row r="17" spans="1:22" ht="14.65" customHeight="1">
      <c r="K17" s="4"/>
      <c r="V17" s="4">
        <v>14</v>
      </c>
    </row>
    <row r="18" spans="1:22" ht="22.5" hidden="1" customHeight="1">
      <c r="A18" s="7" t="s">
        <v>82</v>
      </c>
      <c r="B18" s="4">
        <v>0</v>
      </c>
      <c r="C18" s="16">
        <v>3</v>
      </c>
      <c r="D18" s="4">
        <v>5</v>
      </c>
      <c r="E18" s="4">
        <v>38</v>
      </c>
      <c r="F18" s="4">
        <v>3</v>
      </c>
      <c r="G18" s="4">
        <v>3</v>
      </c>
      <c r="H18" s="4">
        <v>38</v>
      </c>
      <c r="I18" s="4">
        <v>35</v>
      </c>
      <c r="J18" s="4">
        <v>103</v>
      </c>
      <c r="K18" s="32">
        <v>3</v>
      </c>
      <c r="L18" s="46">
        <v>10</v>
      </c>
      <c r="M18" s="46">
        <v>10</v>
      </c>
      <c r="N18" s="46">
        <v>10</v>
      </c>
      <c r="O18" s="46">
        <v>13</v>
      </c>
      <c r="P18" s="46">
        <v>15</v>
      </c>
      <c r="Q18" s="46">
        <v>16</v>
      </c>
      <c r="R18" s="46">
        <v>10</v>
      </c>
      <c r="S18" s="46">
        <v>10</v>
      </c>
      <c r="T18" s="46">
        <v>10</v>
      </c>
      <c r="U18" s="46">
        <v>10</v>
      </c>
      <c r="V18" s="4">
        <v>23</v>
      </c>
    </row>
  </sheetData>
  <sheetProtection formatColumns="0" formatRows="0" insertRows="0" deleteColumns="0" deleteRows="0" sort="0" autoFilter="0"/>
  <mergeCells count="15">
    <mergeCell ref="J14:J16"/>
    <mergeCell ref="D10:I10"/>
    <mergeCell ref="J10:J12"/>
    <mergeCell ref="D11:D12"/>
    <mergeCell ref="E11:E12"/>
    <mergeCell ref="F11:G12"/>
    <mergeCell ref="H11:H12"/>
    <mergeCell ref="I11:I12"/>
    <mergeCell ref="D14:D15"/>
    <mergeCell ref="E14:E15"/>
    <mergeCell ref="H1:I1"/>
    <mergeCell ref="D6:I6"/>
    <mergeCell ref="D7:I7"/>
    <mergeCell ref="D2:D3"/>
    <mergeCell ref="E2:E3"/>
  </mergeCells>
  <dataValidations count="5">
    <dataValidation type="whole" allowBlank="1" showErrorMessage="1" errorTitle="Ошибка" error="Допускается ввод только неотрицательных целых чисел!" sqref="I14 I2" xr:uid="{00000000-0002-0000-0800-000000000000}">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xr:uid="{00000000-0002-0000-0800-000001000000}"/>
    <dataValidation type="decimal" allowBlank="1" showErrorMessage="1" errorTitle="Ошибка" error="Допускается ввод только неотрицательных чисел!" sqref="H13:I13" xr:uid="{00000000-0002-0000-0800-000002000000}">
      <formula1>0</formula1>
      <formula2>9.99999999999999E+23</formula2>
    </dataValidation>
    <dataValidation allowBlank="1" showErrorMessage="1" errorTitle="Ошибка" error="Допускается ввод только неотрицательных чисел!" sqref="E13:G13" xr:uid="{00000000-0002-0000-0800-000003000000}"/>
    <dataValidation type="textLength" operator="lessThanOrEqual" allowBlank="1" showInputMessage="1" showErrorMessage="1" errorTitle="Ошибка" error="Допускается ввод не более 900 символов!" sqref="H14 H2" xr:uid="{00000000-0002-0000-0800-000004000000}">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AB11FA-6D28-D3F4-13A8-79D562264212}">
  <sheetPr>
    <tabColor theme="3" tint="0.59999389629810485"/>
  </sheetPr>
  <dimension ref="A1:W19"/>
  <sheetViews>
    <sheetView showGridLines="0" zoomScale="90" workbookViewId="0">
      <pane xSplit="6" ySplit="11" topLeftCell="G12" activePane="bottomRight" state="frozen"/>
      <selection pane="topRight" activeCell="G1" sqref="G1"/>
      <selection pane="bottomLeft" activeCell="A12" sqref="A12"/>
      <selection pane="bottomRight"/>
    </sheetView>
  </sheetViews>
  <sheetFormatPr defaultColWidth="10.5703125" defaultRowHeight="14.25" customHeight="1"/>
  <cols>
    <col min="1" max="1" width="9.140625" style="7" hidden="1" customWidth="1"/>
    <col min="2" max="3" width="9.140625" style="4" hidden="1" customWidth="1"/>
    <col min="4" max="4" width="3" style="16" customWidth="1"/>
    <col min="5" max="5" width="6" style="4" customWidth="1"/>
    <col min="6" max="6" width="1.7109375" style="4" hidden="1" customWidth="1"/>
    <col min="7" max="8" width="30" style="4" customWidth="1"/>
    <col min="9" max="9" width="8" style="4" customWidth="1"/>
    <col min="10" max="10" width="12.140625" style="4" customWidth="1"/>
    <col min="11" max="11" width="46" style="4" customWidth="1"/>
    <col min="12" max="12" width="100" style="4" customWidth="1"/>
    <col min="13" max="13" width="7" style="32" customWidth="1"/>
    <col min="14" max="22" width="10" style="4" customWidth="1"/>
    <col min="23" max="23" width="10.5703125" style="4" hidden="1"/>
  </cols>
  <sheetData>
    <row r="1" spans="1:23" s="46" customFormat="1" ht="5.25" hidden="1" customHeight="1">
      <c r="G1" s="46" t="s">
        <v>83</v>
      </c>
      <c r="H1" s="46" t="s">
        <v>84</v>
      </c>
      <c r="I1" s="46" t="s">
        <v>85</v>
      </c>
      <c r="P1" s="46" t="s">
        <v>83</v>
      </c>
      <c r="Q1" s="46" t="s">
        <v>84</v>
      </c>
      <c r="R1" s="46" t="s">
        <v>85</v>
      </c>
      <c r="W1" s="46" t="s">
        <v>14</v>
      </c>
    </row>
    <row r="2" spans="1:23" s="46" customFormat="1" ht="5.25" hidden="1" customHeight="1">
      <c r="W2" s="46">
        <v>0</v>
      </c>
    </row>
    <row r="3" spans="1:23" s="85" customFormat="1" ht="5.25" customHeight="1">
      <c r="A3" s="81"/>
      <c r="D3" s="152"/>
      <c r="E3" s="83"/>
      <c r="F3" s="83"/>
      <c r="G3" s="83"/>
      <c r="H3" s="83"/>
      <c r="I3" s="83"/>
      <c r="J3" s="83"/>
      <c r="K3" s="83"/>
      <c r="L3" s="83"/>
      <c r="W3" s="85">
        <v>5</v>
      </c>
    </row>
    <row r="4" spans="1:23" ht="23.25" customHeight="1">
      <c r="D4" s="15"/>
      <c r="E4" s="672" t="s">
        <v>391</v>
      </c>
      <c r="F4" s="672"/>
      <c r="G4" s="673"/>
      <c r="H4" s="673"/>
      <c r="I4" s="674"/>
      <c r="J4" s="92"/>
      <c r="K4" s="40"/>
      <c r="L4" s="40"/>
      <c r="W4" s="4">
        <v>22</v>
      </c>
    </row>
    <row r="5" spans="1:23" s="4" customFormat="1" ht="18" customHeight="1">
      <c r="A5" s="7"/>
      <c r="D5" s="15"/>
      <c r="E5" s="675" t="str">
        <f>IF(org=0,"Не определено",org)</f>
        <v>ООО "Восточная Тепловая компания"</v>
      </c>
      <c r="F5" s="675"/>
      <c r="G5" s="676"/>
      <c r="H5" s="676"/>
      <c r="I5" s="677"/>
      <c r="J5" s="92"/>
      <c r="K5" s="40"/>
      <c r="L5" s="40"/>
      <c r="M5" s="32"/>
      <c r="W5" s="4">
        <v>17</v>
      </c>
    </row>
    <row r="6" spans="1:23" s="85" customFormat="1" ht="11.45" customHeight="1">
      <c r="A6" s="81"/>
      <c r="D6" s="152"/>
      <c r="E6" s="83"/>
      <c r="F6" s="83"/>
      <c r="G6" s="151"/>
      <c r="H6" s="151"/>
      <c r="K6" s="247"/>
      <c r="W6" s="85">
        <v>11</v>
      </c>
    </row>
    <row r="7" spans="1:23" ht="14.65" customHeight="1">
      <c r="D7" s="15"/>
      <c r="E7" s="721" t="s">
        <v>303</v>
      </c>
      <c r="F7" s="721"/>
      <c r="G7" s="722"/>
      <c r="H7" s="722"/>
      <c r="I7" s="722"/>
      <c r="J7" s="722"/>
      <c r="K7" s="722"/>
      <c r="L7" s="698" t="s">
        <v>304</v>
      </c>
      <c r="W7" s="4">
        <v>14</v>
      </c>
    </row>
    <row r="8" spans="1:23" ht="48.2" customHeight="1">
      <c r="D8" s="15"/>
      <c r="E8" s="24" t="s">
        <v>88</v>
      </c>
      <c r="F8" s="24"/>
      <c r="G8" s="29" t="s">
        <v>86</v>
      </c>
      <c r="H8" s="29" t="s">
        <v>87</v>
      </c>
      <c r="I8" s="27" t="s">
        <v>85</v>
      </c>
      <c r="J8" s="27" t="s">
        <v>392</v>
      </c>
      <c r="K8" s="27" t="s">
        <v>393</v>
      </c>
      <c r="L8" s="698"/>
      <c r="W8" s="4">
        <v>46</v>
      </c>
    </row>
    <row r="9" spans="1:23" ht="12" hidden="1" customHeight="1">
      <c r="D9" s="144"/>
      <c r="E9" s="154"/>
      <c r="F9" s="154"/>
      <c r="G9" s="154"/>
      <c r="H9" s="154"/>
      <c r="I9" s="154"/>
      <c r="J9" s="154"/>
      <c r="K9" s="154"/>
      <c r="L9" s="154"/>
      <c r="M9" s="4"/>
      <c r="W9" s="4">
        <v>0</v>
      </c>
    </row>
    <row r="10" spans="1:23" ht="14.25" hidden="1" customHeight="1">
      <c r="A10" s="4"/>
      <c r="D10" s="15"/>
      <c r="E10" s="29">
        <v>0</v>
      </c>
      <c r="F10" s="29"/>
      <c r="G10" s="31"/>
      <c r="H10" s="31"/>
      <c r="I10" s="31"/>
      <c r="J10" s="31"/>
      <c r="K10" s="31"/>
      <c r="L10" s="702" t="s">
        <v>394</v>
      </c>
      <c r="W10" s="4">
        <v>0</v>
      </c>
    </row>
    <row r="11" spans="1:23" ht="15" hidden="1" customHeight="1">
      <c r="A11" s="665"/>
      <c r="D11" s="292"/>
      <c r="E11" s="161"/>
      <c r="F11" s="161"/>
      <c r="G11" s="161"/>
      <c r="H11" s="161"/>
      <c r="I11" s="58"/>
      <c r="J11" s="162"/>
      <c r="K11" s="229"/>
      <c r="L11" s="703"/>
      <c r="M11" s="46"/>
      <c r="N11" s="46"/>
      <c r="O11" s="46"/>
      <c r="P11" s="46"/>
      <c r="Q11" s="46"/>
      <c r="R11" s="160"/>
      <c r="S11" s="46"/>
      <c r="T11" s="46"/>
      <c r="U11" s="46"/>
      <c r="V11" s="46"/>
      <c r="W11" s="4">
        <v>0</v>
      </c>
    </row>
    <row r="12" spans="1:23" s="85" customFormat="1" ht="15" customHeight="1">
      <c r="A12" s="665"/>
      <c r="B12" s="4"/>
      <c r="C12" s="4"/>
      <c r="D12" s="15"/>
      <c r="E12" s="24">
        <v>1</v>
      </c>
      <c r="F12" s="291">
        <v>23</v>
      </c>
      <c r="G12" s="262"/>
      <c r="H12" s="262"/>
      <c r="I12" s="260"/>
      <c r="J12" s="164" t="s">
        <v>66</v>
      </c>
      <c r="K12" s="72" t="s">
        <v>22</v>
      </c>
      <c r="L12" s="703"/>
      <c r="M12" s="46"/>
      <c r="N12" s="46"/>
      <c r="O12" s="46"/>
      <c r="P12" s="46" t="s">
        <v>395</v>
      </c>
      <c r="Q12" s="46" t="s">
        <v>396</v>
      </c>
      <c r="R12" s="160" t="s">
        <v>397</v>
      </c>
      <c r="S12" s="46" t="s">
        <v>398</v>
      </c>
      <c r="T12" s="46"/>
      <c r="U12" s="46"/>
      <c r="V12" s="46"/>
      <c r="W12" s="85">
        <v>14</v>
      </c>
    </row>
    <row r="13" spans="1:23" ht="15.75" customHeight="1">
      <c r="A13" s="665"/>
      <c r="D13" s="15"/>
      <c r="E13" s="91"/>
      <c r="F13" s="57"/>
      <c r="G13" s="37" t="s">
        <v>103</v>
      </c>
      <c r="H13" s="133"/>
      <c r="I13" s="133"/>
      <c r="J13" s="133"/>
      <c r="K13" s="132"/>
      <c r="L13" s="704"/>
      <c r="M13" s="4"/>
      <c r="W13" s="4">
        <v>15</v>
      </c>
    </row>
    <row r="14" spans="1:23" ht="11.45" customHeight="1">
      <c r="A14" s="81"/>
      <c r="B14" s="85"/>
      <c r="C14" s="85"/>
      <c r="D14" s="155"/>
      <c r="E14" s="85"/>
      <c r="F14" s="85"/>
      <c r="G14" s="85"/>
      <c r="H14" s="85"/>
      <c r="I14" s="85"/>
      <c r="J14" s="85"/>
      <c r="K14" s="85"/>
      <c r="L14" s="85"/>
      <c r="M14" s="85"/>
      <c r="N14" s="85"/>
      <c r="O14" s="85"/>
      <c r="P14" s="85"/>
      <c r="Q14" s="85"/>
      <c r="R14" s="85"/>
      <c r="S14" s="85"/>
      <c r="T14" s="85"/>
      <c r="U14" s="85"/>
      <c r="V14" s="85"/>
      <c r="W14" s="4">
        <v>11</v>
      </c>
    </row>
    <row r="15" spans="1:23" ht="14.65" customHeight="1">
      <c r="D15" s="39"/>
      <c r="G15" s="39"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теплоснабжения.</v>
      </c>
      <c r="H15" s="39"/>
      <c r="I15" s="39"/>
      <c r="J15" s="39"/>
      <c r="K15" s="39"/>
      <c r="L15" s="39"/>
      <c r="W15" s="4">
        <v>14</v>
      </c>
    </row>
    <row r="16" spans="1:23" ht="14.65" customHeight="1">
      <c r="W16" s="4">
        <v>14</v>
      </c>
    </row>
    <row r="17" spans="1:23" ht="14.65" customHeight="1">
      <c r="W17" s="4">
        <v>14</v>
      </c>
    </row>
    <row r="18" spans="1:23" ht="14.65" customHeight="1">
      <c r="W18" s="4">
        <v>14</v>
      </c>
    </row>
    <row r="19" spans="1:23" ht="22.5" hidden="1" customHeight="1">
      <c r="A19" s="7" t="s">
        <v>82</v>
      </c>
      <c r="B19" s="4">
        <v>0</v>
      </c>
      <c r="C19" s="4">
        <v>0</v>
      </c>
      <c r="D19" s="16">
        <v>3</v>
      </c>
      <c r="E19" s="4">
        <v>6</v>
      </c>
      <c r="F19" s="4">
        <v>0</v>
      </c>
      <c r="G19" s="4">
        <v>30</v>
      </c>
      <c r="H19" s="4">
        <v>30</v>
      </c>
      <c r="I19" s="4">
        <v>8</v>
      </c>
      <c r="J19" s="4">
        <v>12</v>
      </c>
      <c r="K19" s="4">
        <v>46</v>
      </c>
      <c r="L19" s="4">
        <v>100</v>
      </c>
      <c r="M19" s="32">
        <v>7</v>
      </c>
      <c r="N19" s="4">
        <v>10</v>
      </c>
      <c r="O19" s="4">
        <v>10</v>
      </c>
      <c r="P19" s="4">
        <v>10</v>
      </c>
      <c r="Q19" s="4">
        <v>10</v>
      </c>
      <c r="R19" s="4">
        <v>10</v>
      </c>
      <c r="S19" s="4">
        <v>10</v>
      </c>
      <c r="T19" s="4">
        <v>10</v>
      </c>
      <c r="U19" s="4">
        <v>10</v>
      </c>
      <c r="V19" s="4">
        <v>10</v>
      </c>
      <c r="W19" s="4">
        <v>23</v>
      </c>
    </row>
  </sheetData>
  <sheetProtection formatColumns="0" formatRows="0" insertRows="0" deleteColumns="0" deleteRows="0" sort="0" autoFilter="0"/>
  <mergeCells count="6">
    <mergeCell ref="A11:A13"/>
    <mergeCell ref="E4:I4"/>
    <mergeCell ref="E7:K7"/>
    <mergeCell ref="L7:L8"/>
    <mergeCell ref="L10:L13"/>
    <mergeCell ref="E5:I5"/>
  </mergeCells>
  <dataValidations count="3">
    <dataValidation type="decimal" allowBlank="1" showErrorMessage="1" errorTitle="Ошибка" error="Допускается ввод только неотрицательных чисел!" sqref="G10:K10" xr:uid="{00000000-0002-0000-0900-000000000000}">
      <formula1>0</formula1>
      <formula2>9.99999999999999E+23</formula2>
    </dataValidation>
    <dataValidation allowBlank="1" showInputMessage="1" showErrorMessage="1" prompt="Изменение значения по двойному щелчоку левой кнопки мыши" sqref="J12" xr:uid="{00000000-0002-0000-0900-000001000000}"/>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2" xr:uid="{00000000-0002-0000-0900-000002000000}">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64750D-FC62-E55B-385C-25D6C565224F}">
  <sheetPr>
    <tabColor theme="6" tint="0.39997558519241921"/>
  </sheetPr>
  <dimension ref="A1:AS65"/>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43" hidden="1"/>
    <col min="2" max="2" width="11" style="43" hidden="1" customWidth="1"/>
    <col min="3" max="3" width="10.5703125" style="43" hidden="1"/>
    <col min="4" max="4" width="11.85546875" style="43" hidden="1" customWidth="1"/>
    <col min="5" max="5" width="10" style="43" hidden="1" customWidth="1"/>
    <col min="6" max="6" width="8.7109375" style="43" hidden="1" customWidth="1"/>
    <col min="7" max="7" width="7.5703125" style="43" hidden="1" customWidth="1"/>
    <col min="8" max="8" width="11.42578125" style="43" hidden="1" customWidth="1"/>
    <col min="9" max="9" width="12" style="43" hidden="1" customWidth="1"/>
    <col min="10" max="10" width="9.85546875" style="43" hidden="1" customWidth="1"/>
    <col min="11" max="11" width="11.42578125" style="43" hidden="1" customWidth="1"/>
    <col min="12" max="12" width="19.140625" style="43" hidden="1" customWidth="1"/>
    <col min="13" max="14" width="12.28515625" style="167" hidden="1" customWidth="1"/>
    <col min="15" max="15" width="23.42578125" style="167" hidden="1" customWidth="1"/>
    <col min="16" max="16" width="3" style="23" customWidth="1"/>
    <col min="17" max="18" width="3" style="20" customWidth="1"/>
    <col min="19" max="19" width="12" style="4" customWidth="1"/>
    <col min="20" max="20" width="35" style="4" customWidth="1"/>
    <col min="21" max="21" width="0.140625" style="4" customWidth="1"/>
    <col min="22" max="22" width="24.7109375" style="4" hidden="1" customWidth="1"/>
    <col min="23" max="23" width="0.140625" style="4" hidden="1" customWidth="1"/>
    <col min="24" max="25" width="24.7109375" style="4" hidden="1" customWidth="1"/>
    <col min="26" max="26" width="11.7109375" style="4" hidden="1" customWidth="1"/>
    <col min="27" max="27" width="3.7109375" style="4" hidden="1" customWidth="1"/>
    <col min="28" max="28" width="11.7109375" style="4" hidden="1" customWidth="1"/>
    <col min="29" max="29" width="8.5703125" style="4" hidden="1" customWidth="1"/>
    <col min="30" max="30" width="24.7109375" style="4" customWidth="1"/>
    <col min="31" max="31" width="0.140625" style="4" customWidth="1"/>
    <col min="32" max="33" width="24" style="4" customWidth="1"/>
    <col min="34" max="34" width="11" style="4" customWidth="1"/>
    <col min="35" max="35" width="3.7109375" style="4" customWidth="1"/>
    <col min="36" max="36" width="11" style="4" customWidth="1"/>
    <col min="37" max="37" width="8.5703125" style="4" hidden="1" customWidth="1"/>
    <col min="38" max="38" width="4" style="4" customWidth="1"/>
    <col min="39" max="39" width="115" style="4" customWidth="1"/>
    <col min="40" max="44" width="10" style="46" customWidth="1"/>
    <col min="45" max="45" width="10.5703125" style="4" hidden="1"/>
  </cols>
  <sheetData>
    <row r="1" spans="5:45" ht="22.5" hidden="1" customHeight="1">
      <c r="AS1" s="4" t="s">
        <v>14</v>
      </c>
    </row>
    <row r="2" spans="5:45" ht="21" hidden="1" customHeight="1">
      <c r="E2" s="745">
        <v>1</v>
      </c>
      <c r="M2" s="43"/>
      <c r="N2" s="43"/>
      <c r="O2" s="43"/>
      <c r="Q2" s="4"/>
      <c r="R2" s="119"/>
      <c r="S2" s="24" t="e">
        <f>INDEX(PT_DIFFERENTIATION_NUM_NTAR,MATCH(A2,PT_DIFFERENTIATION_NTAR_ID,0))</f>
        <v>#N/A</v>
      </c>
      <c r="T2" s="29" t="s">
        <v>128</v>
      </c>
      <c r="U2" s="29"/>
      <c r="V2" s="742"/>
      <c r="W2" s="743"/>
      <c r="X2" s="743"/>
      <c r="Y2" s="743"/>
      <c r="Z2" s="743"/>
      <c r="AA2" s="743"/>
      <c r="AB2" s="743"/>
      <c r="AC2" s="744"/>
      <c r="AD2" s="742" t="e">
        <f>INDEX(PT_DIFFERENTIATION_NTAR,MATCH(A2,PT_DIFFERENTIATION_NTAR_ID,0))</f>
        <v>#N/A</v>
      </c>
      <c r="AE2" s="743"/>
      <c r="AF2" s="743"/>
      <c r="AG2" s="743"/>
      <c r="AH2" s="743"/>
      <c r="AI2" s="743"/>
      <c r="AJ2" s="743"/>
      <c r="AK2" s="743"/>
      <c r="AL2" s="744"/>
      <c r="AM2" s="428" t="s">
        <v>399</v>
      </c>
      <c r="AP2" s="46" t="str">
        <f t="shared" ref="AP2:AP15" si="0">IF(T2="","",T2)</f>
        <v>Наименование тарифа</v>
      </c>
      <c r="AS2" s="4">
        <v>0</v>
      </c>
    </row>
    <row r="3" spans="5:45" ht="21" hidden="1" customHeight="1">
      <c r="E3" s="747"/>
      <c r="F3" s="745">
        <v>1</v>
      </c>
      <c r="M3" s="43"/>
      <c r="N3" s="43"/>
      <c r="O3" s="43"/>
      <c r="P3" s="4"/>
      <c r="Q3" s="118"/>
      <c r="R3" s="119"/>
      <c r="S3" s="24" t="e">
        <f>INDEX(PT_DIFFERENTIATION_NUM_TER,MATCH(B3,PT_DIFFERENTIATION_TER_ID,0))</f>
        <v>#N/A</v>
      </c>
      <c r="T3" s="24" t="s">
        <v>400</v>
      </c>
      <c r="U3" s="29"/>
      <c r="V3" s="742"/>
      <c r="W3" s="743"/>
      <c r="X3" s="743"/>
      <c r="Y3" s="743"/>
      <c r="Z3" s="743"/>
      <c r="AA3" s="743"/>
      <c r="AB3" s="743"/>
      <c r="AC3" s="744"/>
      <c r="AD3" s="742" t="e">
        <f>INDEX(PT_DIFFERENTIATION_TER,MATCH(B3,PT_DIFFERENTIATION_TER_ID,0))</f>
        <v>#N/A</v>
      </c>
      <c r="AE3" s="743"/>
      <c r="AF3" s="743"/>
      <c r="AG3" s="743"/>
      <c r="AH3" s="743"/>
      <c r="AI3" s="743"/>
      <c r="AJ3" s="743"/>
      <c r="AK3" s="743"/>
      <c r="AL3" s="744"/>
      <c r="AM3" s="428" t="s">
        <v>401</v>
      </c>
      <c r="AP3" s="46" t="str">
        <f t="shared" si="0"/>
        <v>Территория действия тарифа</v>
      </c>
      <c r="AS3" s="4">
        <v>0</v>
      </c>
    </row>
    <row r="4" spans="5:45" ht="23.25" hidden="1" customHeight="1">
      <c r="E4" s="747"/>
      <c r="F4" s="747"/>
      <c r="G4" s="745">
        <v>1</v>
      </c>
      <c r="M4" s="43"/>
      <c r="N4" s="43"/>
      <c r="O4" s="43"/>
      <c r="P4" s="16"/>
      <c r="Q4" s="118"/>
      <c r="R4" s="119"/>
      <c r="S4" s="24" t="e">
        <f>INDEX(PT_DIFFERENTIATION_NUM_CS,MATCH(C4,PT_DIFFERENTIATION_CS_ID,0))</f>
        <v>#N/A</v>
      </c>
      <c r="T4" s="24" t="s">
        <v>402</v>
      </c>
      <c r="U4" s="29"/>
      <c r="V4" s="742"/>
      <c r="W4" s="743"/>
      <c r="X4" s="743"/>
      <c r="Y4" s="743"/>
      <c r="Z4" s="743"/>
      <c r="AA4" s="743"/>
      <c r="AB4" s="743"/>
      <c r="AC4" s="744"/>
      <c r="AD4" s="742" t="e">
        <f>INDEX(PT_DIFFERENTIATION_CS,MATCH(C4,PT_DIFFERENTIATION_CS_ID,0))</f>
        <v>#N/A</v>
      </c>
      <c r="AE4" s="743"/>
      <c r="AF4" s="743"/>
      <c r="AG4" s="743"/>
      <c r="AH4" s="743"/>
      <c r="AI4" s="743"/>
      <c r="AJ4" s="743"/>
      <c r="AK4" s="743"/>
      <c r="AL4" s="744"/>
      <c r="AM4" s="428" t="s">
        <v>403</v>
      </c>
      <c r="AP4" s="46" t="str">
        <f t="shared" si="0"/>
        <v xml:space="preserve">Наименование системы теплоснабжения </v>
      </c>
      <c r="AS4" s="4">
        <v>0</v>
      </c>
    </row>
    <row r="5" spans="5:45" ht="21" hidden="1" customHeight="1">
      <c r="E5" s="747"/>
      <c r="F5" s="747"/>
      <c r="G5" s="747"/>
      <c r="H5" s="745">
        <v>1</v>
      </c>
      <c r="M5" s="43"/>
      <c r="N5" s="43"/>
      <c r="O5" s="43"/>
      <c r="P5" s="16"/>
      <c r="Q5" s="118"/>
      <c r="R5" s="119"/>
      <c r="S5" s="24" t="e">
        <f>INDEX(PT_DIFFERENTIATION_NUM_IST_TE,MATCH(D5,PT_DIFFERENTIATION_IST_TE_ID,0))</f>
        <v>#N/A</v>
      </c>
      <c r="T5" s="24" t="s">
        <v>404</v>
      </c>
      <c r="U5" s="29"/>
      <c r="V5" s="742"/>
      <c r="W5" s="743"/>
      <c r="X5" s="743"/>
      <c r="Y5" s="743"/>
      <c r="Z5" s="743"/>
      <c r="AA5" s="743"/>
      <c r="AB5" s="743"/>
      <c r="AC5" s="744"/>
      <c r="AD5" s="742" t="e">
        <f>INDEX(PT_DIFFERENTIATION_IST_TE,MATCH(D5,PT_DIFFERENTIATION_IST_TE_ID,0))</f>
        <v>#N/A</v>
      </c>
      <c r="AE5" s="743"/>
      <c r="AF5" s="743"/>
      <c r="AG5" s="743"/>
      <c r="AH5" s="743"/>
      <c r="AI5" s="743"/>
      <c r="AJ5" s="743"/>
      <c r="AK5" s="743"/>
      <c r="AL5" s="744"/>
      <c r="AM5" s="428" t="s">
        <v>405</v>
      </c>
      <c r="AP5" s="46" t="str">
        <f t="shared" si="0"/>
        <v xml:space="preserve">Источник тепловой энергии  </v>
      </c>
      <c r="AS5" s="4">
        <v>0</v>
      </c>
    </row>
    <row r="6" spans="5:45" ht="47.25" hidden="1" customHeight="1">
      <c r="E6" s="747"/>
      <c r="F6" s="747"/>
      <c r="G6" s="747"/>
      <c r="H6" s="747"/>
      <c r="I6" s="745" t="e">
        <f>S5&amp;".1"</f>
        <v>#N/A</v>
      </c>
      <c r="L6" s="43" t="s">
        <v>406</v>
      </c>
      <c r="M6" s="43"/>
      <c r="P6" s="748">
        <v>1</v>
      </c>
      <c r="Q6" s="46"/>
      <c r="R6" s="120"/>
      <c r="S6" s="24" t="e">
        <f>$I6</f>
        <v>#N/A</v>
      </c>
      <c r="T6" s="24" t="s">
        <v>407</v>
      </c>
      <c r="U6" s="29"/>
      <c r="V6" s="737"/>
      <c r="W6" s="738"/>
      <c r="X6" s="738"/>
      <c r="Y6" s="738"/>
      <c r="Z6" s="738"/>
      <c r="AA6" s="738"/>
      <c r="AB6" s="738"/>
      <c r="AC6" s="739"/>
      <c r="AD6" s="737"/>
      <c r="AE6" s="738"/>
      <c r="AF6" s="738"/>
      <c r="AG6" s="738"/>
      <c r="AH6" s="738"/>
      <c r="AI6" s="738"/>
      <c r="AJ6" s="738"/>
      <c r="AK6" s="738"/>
      <c r="AL6" s="739"/>
      <c r="AM6" s="428" t="s">
        <v>408</v>
      </c>
      <c r="AP6" s="46" t="str">
        <f t="shared" si="0"/>
        <v>Схема подключения теплопотребляющей установки к коллектору источника тепловой энергии</v>
      </c>
      <c r="AS6" s="4">
        <v>0</v>
      </c>
    </row>
    <row r="7" spans="5:45" ht="21" hidden="1" customHeight="1">
      <c r="E7" s="747"/>
      <c r="F7" s="747"/>
      <c r="G7" s="747"/>
      <c r="H7" s="747"/>
      <c r="I7" s="747"/>
      <c r="J7" s="745" t="e">
        <f>I6&amp;".1"</f>
        <v>#N/A</v>
      </c>
      <c r="L7" s="43" t="s">
        <v>409</v>
      </c>
      <c r="M7" s="43"/>
      <c r="N7" s="43"/>
      <c r="P7" s="748"/>
      <c r="Q7" s="748">
        <v>1</v>
      </c>
      <c r="R7" s="120"/>
      <c r="S7" s="24" t="e">
        <f>$J7</f>
        <v>#N/A</v>
      </c>
      <c r="T7" s="24" t="s">
        <v>410</v>
      </c>
      <c r="U7" s="29"/>
      <c r="V7" s="737"/>
      <c r="W7" s="738"/>
      <c r="X7" s="738"/>
      <c r="Y7" s="738"/>
      <c r="Z7" s="738"/>
      <c r="AA7" s="738"/>
      <c r="AB7" s="738"/>
      <c r="AC7" s="739"/>
      <c r="AD7" s="737"/>
      <c r="AE7" s="738"/>
      <c r="AF7" s="738"/>
      <c r="AG7" s="738"/>
      <c r="AH7" s="738"/>
      <c r="AI7" s="738"/>
      <c r="AJ7" s="738"/>
      <c r="AK7" s="738"/>
      <c r="AL7" s="739"/>
      <c r="AM7" s="428" t="s">
        <v>411</v>
      </c>
      <c r="AP7" s="46" t="str">
        <f t="shared" si="0"/>
        <v>Группа потребителей</v>
      </c>
      <c r="AS7" s="4">
        <v>0</v>
      </c>
    </row>
    <row r="8" spans="5:45" ht="21" hidden="1" customHeight="1">
      <c r="E8" s="747"/>
      <c r="F8" s="747"/>
      <c r="G8" s="747"/>
      <c r="H8" s="747"/>
      <c r="I8" s="747"/>
      <c r="J8" s="747"/>
      <c r="K8" s="745" t="e">
        <f>J7&amp;".1"</f>
        <v>#N/A</v>
      </c>
      <c r="L8" s="43" t="s">
        <v>412</v>
      </c>
      <c r="M8" s="43"/>
      <c r="N8" s="43"/>
      <c r="O8" s="43"/>
      <c r="P8" s="748"/>
      <c r="Q8" s="748"/>
      <c r="R8" s="120">
        <v>1</v>
      </c>
      <c r="S8" s="24" t="e">
        <f>$K8</f>
        <v>#N/A</v>
      </c>
      <c r="T8" s="356"/>
      <c r="U8" s="29"/>
      <c r="V8" s="168"/>
      <c r="W8" s="110"/>
      <c r="X8" s="168"/>
      <c r="Y8" s="427"/>
      <c r="Z8" s="749"/>
      <c r="AA8" s="688" t="s">
        <v>66</v>
      </c>
      <c r="AB8" s="749"/>
      <c r="AC8" s="688" t="s">
        <v>66</v>
      </c>
      <c r="AD8" s="168"/>
      <c r="AE8" s="110"/>
      <c r="AF8" s="168"/>
      <c r="AG8" s="427"/>
      <c r="AH8" s="749"/>
      <c r="AI8" s="688" t="s">
        <v>66</v>
      </c>
      <c r="AJ8" s="749"/>
      <c r="AK8" s="688" t="s">
        <v>66</v>
      </c>
      <c r="AL8" s="110"/>
      <c r="AM8" s="762" t="s">
        <v>413</v>
      </c>
      <c r="AN8" s="46" t="e">
        <f ca="1">STRCHECKDATE(V9:AL9)</f>
        <v>#NAME?</v>
      </c>
      <c r="AP8" s="46" t="str">
        <f t="shared" si="0"/>
        <v/>
      </c>
      <c r="AS8" s="4">
        <v>0</v>
      </c>
    </row>
    <row r="9" spans="5:45" ht="0.75" hidden="1" customHeight="1">
      <c r="E9" s="747"/>
      <c r="F9" s="747"/>
      <c r="G9" s="747"/>
      <c r="H9" s="747"/>
      <c r="I9" s="747"/>
      <c r="J9" s="747"/>
      <c r="K9" s="745"/>
      <c r="M9" s="43"/>
      <c r="N9" s="43"/>
      <c r="O9" s="43"/>
      <c r="P9" s="748"/>
      <c r="Q9" s="748"/>
      <c r="R9" s="120"/>
      <c r="S9" s="31"/>
      <c r="T9" s="29"/>
      <c r="U9" s="29"/>
      <c r="V9" s="110"/>
      <c r="W9" s="110"/>
      <c r="X9" s="110"/>
      <c r="Y9" s="111" t="str">
        <f>Z8&amp;"-"&amp;AB8</f>
        <v>-</v>
      </c>
      <c r="Z9" s="707"/>
      <c r="AA9" s="688"/>
      <c r="AB9" s="707"/>
      <c r="AC9" s="688"/>
      <c r="AD9" s="110"/>
      <c r="AE9" s="110"/>
      <c r="AF9" s="110"/>
      <c r="AG9" s="111" t="str">
        <f>AH8&amp;"-"&amp;AJ8</f>
        <v>-</v>
      </c>
      <c r="AH9" s="707"/>
      <c r="AI9" s="688"/>
      <c r="AJ9" s="707"/>
      <c r="AK9" s="688"/>
      <c r="AL9" s="110"/>
      <c r="AM9" s="763"/>
      <c r="AP9" s="46" t="str">
        <f t="shared" si="0"/>
        <v/>
      </c>
      <c r="AS9" s="4">
        <v>0</v>
      </c>
    </row>
    <row r="10" spans="5:45" ht="15" hidden="1" customHeight="1">
      <c r="E10" s="747"/>
      <c r="F10" s="747"/>
      <c r="G10" s="747"/>
      <c r="H10" s="747"/>
      <c r="I10" s="747"/>
      <c r="J10" s="745"/>
      <c r="M10" s="43"/>
      <c r="N10" s="43"/>
      <c r="P10" s="748"/>
      <c r="Q10" s="748"/>
      <c r="R10" s="120"/>
      <c r="S10" s="434"/>
      <c r="T10" s="37" t="s">
        <v>414</v>
      </c>
      <c r="U10" s="58"/>
      <c r="V10" s="58"/>
      <c r="W10" s="58"/>
      <c r="X10" s="58"/>
      <c r="Y10" s="58"/>
      <c r="Z10" s="58"/>
      <c r="AA10" s="58"/>
      <c r="AB10" s="58"/>
      <c r="AC10" s="58"/>
      <c r="AD10" s="58"/>
      <c r="AE10" s="58"/>
      <c r="AF10" s="58"/>
      <c r="AG10" s="58"/>
      <c r="AH10" s="58"/>
      <c r="AI10" s="58"/>
      <c r="AJ10" s="58"/>
      <c r="AK10" s="58"/>
      <c r="AL10" s="59"/>
      <c r="AM10" s="764"/>
      <c r="AP10" s="46" t="str">
        <f t="shared" si="0"/>
        <v>Добавить вид теплоносителя (параметры теплоносителя)</v>
      </c>
      <c r="AS10" s="4">
        <v>0</v>
      </c>
    </row>
    <row r="11" spans="5:45" ht="15" hidden="1" customHeight="1">
      <c r="E11" s="747"/>
      <c r="F11" s="747"/>
      <c r="G11" s="747"/>
      <c r="H11" s="747"/>
      <c r="I11" s="745"/>
      <c r="M11" s="43"/>
      <c r="P11" s="748"/>
      <c r="Q11" s="46"/>
      <c r="R11" s="120"/>
      <c r="S11" s="434"/>
      <c r="T11" s="37" t="s">
        <v>415</v>
      </c>
      <c r="U11" s="58"/>
      <c r="V11" s="58"/>
      <c r="W11" s="58"/>
      <c r="X11" s="58"/>
      <c r="Y11" s="58"/>
      <c r="Z11" s="58"/>
      <c r="AA11" s="58"/>
      <c r="AB11" s="58"/>
      <c r="AC11" s="54"/>
      <c r="AD11" s="58"/>
      <c r="AE11" s="58"/>
      <c r="AF11" s="58"/>
      <c r="AG11" s="58"/>
      <c r="AH11" s="58"/>
      <c r="AI11" s="58"/>
      <c r="AJ11" s="58"/>
      <c r="AK11" s="54"/>
      <c r="AL11" s="58"/>
      <c r="AM11" s="102"/>
      <c r="AP11" s="46" t="str">
        <f t="shared" si="0"/>
        <v>Добавить группу потребителей</v>
      </c>
      <c r="AS11" s="4">
        <v>0</v>
      </c>
    </row>
    <row r="12" spans="5:45" ht="14.25" hidden="1" customHeight="1">
      <c r="E12" s="747"/>
      <c r="F12" s="747"/>
      <c r="G12" s="747"/>
      <c r="H12" s="745"/>
      <c r="M12" s="43"/>
      <c r="N12" s="43"/>
      <c r="O12" s="43"/>
      <c r="P12" s="4"/>
      <c r="R12" s="119"/>
      <c r="S12" s="434"/>
      <c r="T12" s="37" t="s">
        <v>416</v>
      </c>
      <c r="U12" s="58"/>
      <c r="V12" s="58"/>
      <c r="W12" s="58"/>
      <c r="X12" s="58"/>
      <c r="Y12" s="58"/>
      <c r="Z12" s="58"/>
      <c r="AA12" s="58"/>
      <c r="AB12" s="58"/>
      <c r="AC12" s="54"/>
      <c r="AD12" s="58"/>
      <c r="AE12" s="58"/>
      <c r="AF12" s="58"/>
      <c r="AG12" s="58"/>
      <c r="AH12" s="58"/>
      <c r="AI12" s="58"/>
      <c r="AJ12" s="58"/>
      <c r="AK12" s="54"/>
      <c r="AL12" s="58"/>
      <c r="AM12" s="102"/>
      <c r="AP12" s="46" t="str">
        <f t="shared" si="0"/>
        <v>Добавить схему подключения</v>
      </c>
      <c r="AS12" s="4">
        <v>0</v>
      </c>
    </row>
    <row r="13" spans="5:45" s="46" customFormat="1" ht="0.75" hidden="1" customHeight="1">
      <c r="E13" s="747"/>
      <c r="F13" s="747"/>
      <c r="G13" s="745"/>
      <c r="Q13" s="446"/>
      <c r="S13" s="447"/>
      <c r="T13" s="448" t="s">
        <v>417</v>
      </c>
      <c r="U13" s="448"/>
      <c r="V13" s="448"/>
      <c r="W13" s="448"/>
      <c r="X13" s="448"/>
      <c r="Y13" s="448"/>
      <c r="Z13" s="448"/>
      <c r="AA13" s="448"/>
      <c r="AB13" s="448"/>
      <c r="AC13" s="448"/>
      <c r="AD13" s="448"/>
      <c r="AE13" s="448"/>
      <c r="AF13" s="448"/>
      <c r="AG13" s="448"/>
      <c r="AH13" s="448"/>
      <c r="AI13" s="448"/>
      <c r="AJ13" s="448"/>
      <c r="AK13" s="448"/>
      <c r="AL13" s="448"/>
      <c r="AM13" s="448"/>
      <c r="AP13" s="46" t="str">
        <f t="shared" si="0"/>
        <v>Добавить источник для дифференциации</v>
      </c>
      <c r="AS13" s="46">
        <v>0</v>
      </c>
    </row>
    <row r="14" spans="5:45" s="46" customFormat="1" ht="0.75" hidden="1" customHeight="1">
      <c r="E14" s="747"/>
      <c r="F14" s="745"/>
      <c r="M14" s="160"/>
      <c r="N14" s="160"/>
      <c r="Q14" s="446"/>
      <c r="S14" s="449"/>
      <c r="T14" s="160" t="s">
        <v>418</v>
      </c>
      <c r="U14" s="160"/>
      <c r="V14" s="160"/>
      <c r="W14" s="160"/>
      <c r="X14" s="160"/>
      <c r="Y14" s="160"/>
      <c r="Z14" s="160"/>
      <c r="AA14" s="160"/>
      <c r="AB14" s="160"/>
      <c r="AC14" s="160"/>
      <c r="AD14" s="160"/>
      <c r="AE14" s="160"/>
      <c r="AF14" s="160"/>
      <c r="AG14" s="160"/>
      <c r="AH14" s="160"/>
      <c r="AI14" s="160"/>
      <c r="AJ14" s="160"/>
      <c r="AK14" s="160"/>
      <c r="AL14" s="160"/>
      <c r="AM14" s="160"/>
      <c r="AP14" s="46" t="str">
        <f t="shared" si="0"/>
        <v>Добавить централизованную систему для дифференциации</v>
      </c>
      <c r="AS14" s="46">
        <v>0</v>
      </c>
    </row>
    <row r="15" spans="5:45" s="46" customFormat="1" ht="0.75" hidden="1" customHeight="1">
      <c r="E15" s="745"/>
      <c r="M15" s="160"/>
      <c r="N15" s="160"/>
      <c r="Q15" s="446"/>
      <c r="S15" s="449"/>
      <c r="T15" s="160" t="s">
        <v>419</v>
      </c>
      <c r="U15" s="160"/>
      <c r="V15" s="160"/>
      <c r="W15" s="160"/>
      <c r="X15" s="160"/>
      <c r="Y15" s="160"/>
      <c r="Z15" s="160"/>
      <c r="AA15" s="160"/>
      <c r="AB15" s="160"/>
      <c r="AC15" s="160"/>
      <c r="AD15" s="160"/>
      <c r="AE15" s="160"/>
      <c r="AF15" s="160"/>
      <c r="AG15" s="160"/>
      <c r="AH15" s="160"/>
      <c r="AI15" s="160"/>
      <c r="AJ15" s="160"/>
      <c r="AK15" s="160"/>
      <c r="AL15" s="160"/>
      <c r="AM15" s="160"/>
      <c r="AP15" s="46" t="str">
        <f t="shared" si="0"/>
        <v>Добавить территорию для дифференциации</v>
      </c>
      <c r="AS15" s="46">
        <v>0</v>
      </c>
    </row>
    <row r="16" spans="5:45" ht="14.25" hidden="1" customHeight="1">
      <c r="AS16" s="4">
        <v>0</v>
      </c>
    </row>
    <row r="17" spans="1:45" ht="14.25" hidden="1" customHeight="1">
      <c r="AD17" s="205"/>
      <c r="AE17" s="205"/>
      <c r="AF17" s="205"/>
      <c r="AG17" s="451"/>
      <c r="AH17" s="746"/>
      <c r="AI17" s="745" t="s">
        <v>66</v>
      </c>
      <c r="AJ17" s="746"/>
      <c r="AK17" s="745" t="s">
        <v>66</v>
      </c>
      <c r="AS17" s="4">
        <v>0</v>
      </c>
    </row>
    <row r="18" spans="1:45" ht="14.25" hidden="1" customHeight="1">
      <c r="AD18" s="205"/>
      <c r="AE18" s="205"/>
      <c r="AF18" s="205"/>
      <c r="AG18" s="111" t="str">
        <f>AH17&amp;"-"&amp;AJ17</f>
        <v>-</v>
      </c>
      <c r="AH18" s="745"/>
      <c r="AI18" s="745"/>
      <c r="AJ18" s="745"/>
      <c r="AK18" s="745"/>
      <c r="AS18" s="4">
        <v>0</v>
      </c>
    </row>
    <row r="19" spans="1:45" ht="14.25" hidden="1" customHeight="1">
      <c r="AS19" s="4">
        <v>0</v>
      </c>
    </row>
    <row r="20" spans="1:45" s="43" customFormat="1" ht="22.5" hidden="1" customHeight="1">
      <c r="M20" s="167"/>
      <c r="N20" s="167"/>
      <c r="O20" s="261" t="s">
        <v>420</v>
      </c>
      <c r="P20" s="167"/>
      <c r="Q20" s="452"/>
      <c r="R20" s="452"/>
      <c r="Z20" s="261"/>
      <c r="AB20" s="261"/>
      <c r="AH20" s="261"/>
      <c r="AJ20" s="261"/>
      <c r="AN20" s="46"/>
      <c r="AO20" s="46"/>
      <c r="AP20" s="46"/>
      <c r="AQ20" s="46"/>
      <c r="AR20" s="46"/>
      <c r="AS20" s="43">
        <v>0</v>
      </c>
    </row>
    <row r="21" spans="1:45" s="43" customFormat="1" ht="14.25" hidden="1" customHeight="1">
      <c r="M21" s="167"/>
      <c r="N21" s="167"/>
      <c r="O21" s="167"/>
      <c r="P21" s="167"/>
      <c r="Q21" s="452"/>
      <c r="R21" s="452"/>
      <c r="AN21" s="46"/>
      <c r="AO21" s="46"/>
      <c r="AP21" s="46"/>
      <c r="AQ21" s="46"/>
      <c r="AR21" s="46"/>
      <c r="AS21" s="43">
        <v>0</v>
      </c>
    </row>
    <row r="22" spans="1:45" s="43" customFormat="1" ht="14.25" hidden="1" customHeight="1">
      <c r="M22" s="167"/>
      <c r="N22" s="167"/>
      <c r="O22" s="43" t="s">
        <v>421</v>
      </c>
      <c r="P22" s="167"/>
      <c r="Q22" s="452"/>
      <c r="R22" s="452"/>
      <c r="T22" s="43" t="s">
        <v>422</v>
      </c>
      <c r="AA22" s="43" t="s">
        <v>423</v>
      </c>
      <c r="AC22" s="43" t="s">
        <v>424</v>
      </c>
      <c r="AD22" s="43" t="s">
        <v>422</v>
      </c>
      <c r="AI22" s="43" t="s">
        <v>425</v>
      </c>
      <c r="AK22" s="43" t="s">
        <v>424</v>
      </c>
      <c r="AN22" s="46"/>
      <c r="AO22" s="46"/>
      <c r="AP22" s="46"/>
      <c r="AQ22" s="46"/>
      <c r="AR22" s="46"/>
      <c r="AS22" s="43">
        <v>0</v>
      </c>
    </row>
    <row r="23" spans="1:45" ht="14.25" hidden="1" customHeight="1">
      <c r="O23" s="43"/>
      <c r="AS23" s="4">
        <v>0</v>
      </c>
    </row>
    <row r="24" spans="1:45" ht="14.25" hidden="1" customHeight="1">
      <c r="O24" s="43"/>
      <c r="AS24" s="4">
        <v>0</v>
      </c>
    </row>
    <row r="25" spans="1:45" ht="14.65" customHeight="1">
      <c r="Q25" s="19"/>
      <c r="R25" s="19"/>
      <c r="S25" s="6"/>
      <c r="T25" s="6"/>
      <c r="U25" s="6"/>
      <c r="AS25" s="4">
        <v>14</v>
      </c>
    </row>
    <row r="26" spans="1:45" ht="14.65" customHeight="1">
      <c r="Q26" s="19"/>
      <c r="R26" s="19"/>
      <c r="S26" s="697"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697"/>
      <c r="U26" s="697"/>
      <c r="V26" s="697"/>
      <c r="W26" s="697"/>
      <c r="X26" s="697"/>
      <c r="Y26" s="697"/>
      <c r="Z26" s="697"/>
      <c r="AA26" s="697"/>
      <c r="AB26" s="697"/>
      <c r="AC26" s="697"/>
      <c r="AD26" s="697"/>
      <c r="AE26" s="697"/>
      <c r="AF26" s="697"/>
      <c r="AG26" s="697"/>
      <c r="AH26" s="697"/>
      <c r="AI26" s="697"/>
      <c r="AJ26" s="697"/>
      <c r="AK26" s="40"/>
      <c r="AS26" s="4">
        <v>14</v>
      </c>
    </row>
    <row r="27" spans="1:45" ht="14.65" customHeight="1">
      <c r="Q27" s="19"/>
      <c r="R27" s="19"/>
      <c r="S27" s="712" t="str">
        <f>IF(org=0,"Не определено",org)</f>
        <v>ООО "Восточная Тепловая компания"</v>
      </c>
      <c r="T27" s="712"/>
      <c r="U27" s="712"/>
      <c r="V27" s="712"/>
      <c r="W27" s="712"/>
      <c r="X27" s="712"/>
      <c r="Y27" s="712"/>
      <c r="Z27" s="712"/>
      <c r="AA27" s="712"/>
      <c r="AB27" s="712"/>
      <c r="AC27" s="712"/>
      <c r="AD27" s="712"/>
      <c r="AE27" s="712"/>
      <c r="AF27" s="712"/>
      <c r="AG27" s="712"/>
      <c r="AH27" s="712"/>
      <c r="AI27" s="712"/>
      <c r="AJ27" s="712"/>
      <c r="AK27" s="40"/>
      <c r="AS27" s="4">
        <v>14</v>
      </c>
    </row>
    <row r="28" spans="1:45" ht="14.25" hidden="1" customHeight="1">
      <c r="Q28" s="19"/>
      <c r="R28" s="19"/>
      <c r="S28" s="6"/>
      <c r="T28" s="6"/>
      <c r="U28" s="6"/>
      <c r="V28" s="109"/>
      <c r="W28" s="109"/>
      <c r="X28" s="109"/>
      <c r="Y28" s="109"/>
      <c r="Z28" s="109"/>
      <c r="AA28" s="109"/>
      <c r="AB28" s="109"/>
      <c r="AC28" s="109"/>
      <c r="AD28" s="109"/>
      <c r="AE28" s="109"/>
      <c r="AF28" s="109"/>
      <c r="AG28" s="109"/>
      <c r="AH28" s="109"/>
      <c r="AI28" s="109"/>
      <c r="AJ28" s="109"/>
      <c r="AK28" s="109"/>
      <c r="AS28" s="4">
        <v>0</v>
      </c>
    </row>
    <row r="29" spans="1:45" s="22" customFormat="1" ht="25.5" hidden="1" customHeight="1">
      <c r="A29" s="43"/>
      <c r="B29" s="43"/>
      <c r="C29" s="43"/>
      <c r="D29" s="43"/>
      <c r="E29" s="43"/>
      <c r="F29" s="43"/>
      <c r="G29" s="43"/>
      <c r="H29" s="43"/>
      <c r="I29" s="43"/>
      <c r="J29" s="43"/>
      <c r="K29" s="43"/>
      <c r="L29" s="43"/>
      <c r="M29" s="43"/>
      <c r="N29" s="43"/>
      <c r="O29" s="43"/>
      <c r="S29" s="721" t="s">
        <v>42</v>
      </c>
      <c r="T29" s="721"/>
      <c r="U29" s="453"/>
      <c r="V29" s="741" t="str">
        <f>IF(TITLE_NAME_OR_PR_CHANGE="",IF(TITLE_NAME_OR_PR="","",TITLE_NAME_OR_PR),TITLE_NAME_OR_PR_CHANGE)</f>
        <v/>
      </c>
      <c r="W29" s="741"/>
      <c r="X29" s="741"/>
      <c r="Y29" s="741"/>
      <c r="Z29" s="741"/>
      <c r="AA29" s="741"/>
      <c r="AB29" s="741"/>
      <c r="AC29" s="4"/>
      <c r="AD29" s="741" t="str">
        <f>IF(TITLE_NAME_OR_PR_CHANGE="",IF(TITLE_NAME_OR_PR="","",TITLE_NAME_OR_PR),TITLE_NAME_OR_PR_CHANGE)</f>
        <v/>
      </c>
      <c r="AE29" s="741"/>
      <c r="AF29" s="741"/>
      <c r="AG29" s="741"/>
      <c r="AH29" s="741"/>
      <c r="AI29" s="741"/>
      <c r="AJ29" s="741"/>
      <c r="AK29" s="4"/>
      <c r="AL29" s="4"/>
      <c r="AM29" s="96"/>
      <c r="AN29" s="46"/>
      <c r="AO29" s="46"/>
      <c r="AP29" s="46"/>
      <c r="AQ29" s="46"/>
      <c r="AR29" s="46"/>
      <c r="AS29" s="22">
        <v>0</v>
      </c>
    </row>
    <row r="30" spans="1:45" s="22" customFormat="1" ht="18.75" hidden="1" customHeight="1">
      <c r="A30" s="43"/>
      <c r="B30" s="43"/>
      <c r="C30" s="43"/>
      <c r="D30" s="43"/>
      <c r="E30" s="43"/>
      <c r="F30" s="43"/>
      <c r="G30" s="43"/>
      <c r="H30" s="43"/>
      <c r="I30" s="43"/>
      <c r="J30" s="43"/>
      <c r="K30" s="43"/>
      <c r="L30" s="43"/>
      <c r="M30" s="43"/>
      <c r="N30" s="43"/>
      <c r="O30" s="43"/>
      <c r="S30" s="721" t="s">
        <v>426</v>
      </c>
      <c r="T30" s="721"/>
      <c r="U30" s="453"/>
      <c r="V30" s="740" t="str">
        <f>IF(TITLE_DATE_PR_CHANGE="",IF(TITLE_DATE_PR="","",TITLE_DATE_PR),TITLE_DATE_PR_CHANGE)</f>
        <v/>
      </c>
      <c r="W30" s="740"/>
      <c r="X30" s="740"/>
      <c r="Y30" s="740"/>
      <c r="Z30" s="740"/>
      <c r="AA30" s="740"/>
      <c r="AB30" s="740"/>
      <c r="AC30" s="4"/>
      <c r="AD30" s="740" t="str">
        <f>IF(TITLE_DATE_PR_CHANGE="",IF(TITLE_DATE_PR="","",TITLE_DATE_PR),TITLE_DATE_PR_CHANGE)</f>
        <v/>
      </c>
      <c r="AE30" s="740"/>
      <c r="AF30" s="740"/>
      <c r="AG30" s="740"/>
      <c r="AH30" s="740"/>
      <c r="AI30" s="740"/>
      <c r="AJ30" s="740"/>
      <c r="AK30" s="4"/>
      <c r="AL30" s="4"/>
      <c r="AM30" s="96"/>
      <c r="AN30" s="46"/>
      <c r="AO30" s="46"/>
      <c r="AP30" s="46"/>
      <c r="AQ30" s="46"/>
      <c r="AR30" s="46"/>
      <c r="AS30" s="22">
        <v>0</v>
      </c>
    </row>
    <row r="31" spans="1:45" s="22" customFormat="1" ht="18.75" hidden="1" customHeight="1">
      <c r="A31" s="43"/>
      <c r="B31" s="43"/>
      <c r="C31" s="43"/>
      <c r="D31" s="43"/>
      <c r="E31" s="43"/>
      <c r="F31" s="43"/>
      <c r="G31" s="43"/>
      <c r="H31" s="43"/>
      <c r="I31" s="43"/>
      <c r="J31" s="43"/>
      <c r="K31" s="43"/>
      <c r="L31" s="43"/>
      <c r="M31" s="43"/>
      <c r="N31" s="43"/>
      <c r="O31" s="43"/>
      <c r="S31" s="721" t="s">
        <v>427</v>
      </c>
      <c r="T31" s="721"/>
      <c r="U31" s="453"/>
      <c r="V31" s="741" t="str">
        <f>IF(TITLE_NUMBER_PR_CHANGE="",IF(TITLE_NUMBER_PR="","",TITLE_NUMBER_PR),TITLE_NUMBER_PR_CHANGE)</f>
        <v/>
      </c>
      <c r="W31" s="741"/>
      <c r="X31" s="741"/>
      <c r="Y31" s="741"/>
      <c r="Z31" s="741"/>
      <c r="AA31" s="741"/>
      <c r="AB31" s="741"/>
      <c r="AC31" s="4"/>
      <c r="AD31" s="741" t="str">
        <f>IF(TITLE_NUMBER_PR_CHANGE="",IF(TITLE_NUMBER_PR="","",TITLE_NUMBER_PR),TITLE_NUMBER_PR_CHANGE)</f>
        <v/>
      </c>
      <c r="AE31" s="741"/>
      <c r="AF31" s="741"/>
      <c r="AG31" s="741"/>
      <c r="AH31" s="741"/>
      <c r="AI31" s="741"/>
      <c r="AJ31" s="741"/>
      <c r="AK31" s="4"/>
      <c r="AL31" s="4"/>
      <c r="AM31" s="96"/>
      <c r="AN31" s="46"/>
      <c r="AO31" s="46"/>
      <c r="AP31" s="46"/>
      <c r="AQ31" s="46"/>
      <c r="AR31" s="46"/>
      <c r="AS31" s="22">
        <v>0</v>
      </c>
    </row>
    <row r="32" spans="1:45" s="22" customFormat="1" ht="18.75" hidden="1" customHeight="1">
      <c r="A32" s="43"/>
      <c r="B32" s="43"/>
      <c r="C32" s="43"/>
      <c r="D32" s="43"/>
      <c r="E32" s="43"/>
      <c r="F32" s="43"/>
      <c r="G32" s="43"/>
      <c r="H32" s="43"/>
      <c r="I32" s="43"/>
      <c r="J32" s="43"/>
      <c r="K32" s="43"/>
      <c r="L32" s="43"/>
      <c r="M32" s="43"/>
      <c r="N32" s="43"/>
      <c r="O32" s="43"/>
      <c r="S32" s="721" t="s">
        <v>43</v>
      </c>
      <c r="T32" s="721"/>
      <c r="U32" s="453"/>
      <c r="V32" s="741" t="str">
        <f>IF(TITLE_IST_PUB_CHANGE="",IF(TITLE_IST_PUB="","",TITLE_IST_PUB),TITLE_IST_PUB_CHANGE)</f>
        <v/>
      </c>
      <c r="W32" s="741"/>
      <c r="X32" s="741"/>
      <c r="Y32" s="741"/>
      <c r="Z32" s="741"/>
      <c r="AA32" s="741"/>
      <c r="AB32" s="741"/>
      <c r="AC32" s="4"/>
      <c r="AD32" s="741" t="str">
        <f>IF(TITLE_IST_PUB_CHANGE="",IF(TITLE_IST_PUB="","",TITLE_IST_PUB),TITLE_IST_PUB_CHANGE)</f>
        <v/>
      </c>
      <c r="AE32" s="741"/>
      <c r="AF32" s="741"/>
      <c r="AG32" s="741"/>
      <c r="AH32" s="741"/>
      <c r="AI32" s="741"/>
      <c r="AJ32" s="741"/>
      <c r="AK32" s="4"/>
      <c r="AL32" s="4"/>
      <c r="AM32" s="96"/>
      <c r="AN32" s="46"/>
      <c r="AO32" s="46"/>
      <c r="AP32" s="46"/>
      <c r="AQ32" s="46"/>
      <c r="AR32" s="46"/>
      <c r="AS32" s="22">
        <v>0</v>
      </c>
    </row>
    <row r="33" spans="1:45" ht="14.25" hidden="1" customHeight="1">
      <c r="Q33" s="19"/>
      <c r="R33" s="19"/>
      <c r="S33" s="6"/>
      <c r="T33" s="6"/>
      <c r="U33" s="6"/>
      <c r="V33" s="109"/>
      <c r="W33" s="109"/>
      <c r="X33" s="109"/>
      <c r="Y33" s="109"/>
      <c r="Z33" s="109"/>
      <c r="AA33" s="109"/>
      <c r="AB33" s="109"/>
      <c r="AC33" s="109"/>
      <c r="AD33" s="109"/>
      <c r="AE33" s="109"/>
      <c r="AF33" s="109"/>
      <c r="AG33" s="109"/>
      <c r="AH33" s="109"/>
      <c r="AI33" s="109"/>
      <c r="AJ33" s="109"/>
      <c r="AK33" s="109"/>
      <c r="AS33" s="4">
        <v>0</v>
      </c>
    </row>
    <row r="34" spans="1:45" s="22" customFormat="1" ht="18.75" hidden="1" customHeight="1">
      <c r="A34" s="43"/>
      <c r="B34" s="43"/>
      <c r="C34" s="43"/>
      <c r="D34" s="43"/>
      <c r="E34" s="43"/>
      <c r="F34" s="43"/>
      <c r="G34" s="43"/>
      <c r="H34" s="43"/>
      <c r="I34" s="43"/>
      <c r="J34" s="43"/>
      <c r="K34" s="43"/>
      <c r="L34" s="43"/>
      <c r="M34" s="43"/>
      <c r="N34" s="43"/>
      <c r="O34" s="43"/>
      <c r="S34" s="721" t="s">
        <v>428</v>
      </c>
      <c r="T34" s="721"/>
      <c r="U34" s="453"/>
      <c r="V34" s="740" t="str">
        <f>IF(TITLE_DATE_PR_CHANGE="",IF(TITLE_DATE_PR="","",TITLE_DATE_PR),TITLE_DATE_PR_CHANGE)</f>
        <v/>
      </c>
      <c r="W34" s="740"/>
      <c r="X34" s="740"/>
      <c r="Y34" s="740"/>
      <c r="Z34" s="740"/>
      <c r="AA34" s="740"/>
      <c r="AB34" s="740"/>
      <c r="AC34" s="4"/>
      <c r="AD34" s="740" t="str">
        <f>IF(TITLE_DATE_PR_CHANGE="",IF(TITLE_DATE_PR="","",TITLE_DATE_PR),TITLE_DATE_PR_CHANGE)</f>
        <v/>
      </c>
      <c r="AE34" s="740"/>
      <c r="AF34" s="740"/>
      <c r="AG34" s="740"/>
      <c r="AH34" s="740"/>
      <c r="AI34" s="740"/>
      <c r="AJ34" s="740"/>
      <c r="AK34" s="4"/>
      <c r="AL34" s="4"/>
      <c r="AM34" s="96"/>
      <c r="AN34" s="46"/>
      <c r="AO34" s="46"/>
      <c r="AP34" s="46"/>
      <c r="AQ34" s="46"/>
      <c r="AR34" s="46"/>
      <c r="AS34" s="22">
        <v>0</v>
      </c>
    </row>
    <row r="35" spans="1:45" s="22" customFormat="1" ht="18.75" hidden="1" customHeight="1">
      <c r="A35" s="43"/>
      <c r="B35" s="43"/>
      <c r="C35" s="43"/>
      <c r="D35" s="43"/>
      <c r="E35" s="43"/>
      <c r="F35" s="43"/>
      <c r="G35" s="43"/>
      <c r="H35" s="43"/>
      <c r="I35" s="43"/>
      <c r="J35" s="43"/>
      <c r="K35" s="43"/>
      <c r="L35" s="43"/>
      <c r="M35" s="43"/>
      <c r="N35" s="43"/>
      <c r="O35" s="43"/>
      <c r="S35" s="721" t="s">
        <v>429</v>
      </c>
      <c r="T35" s="721"/>
      <c r="U35" s="453"/>
      <c r="V35" s="741" t="str">
        <f>IF(TITLE_NUMBER_PR_CHANGE="",IF(TITLE_NUMBER_PR="","",TITLE_NUMBER_PR),TITLE_NUMBER_PR_CHANGE)</f>
        <v/>
      </c>
      <c r="W35" s="741"/>
      <c r="X35" s="741"/>
      <c r="Y35" s="741"/>
      <c r="Z35" s="741"/>
      <c r="AA35" s="741"/>
      <c r="AB35" s="741"/>
      <c r="AC35" s="4"/>
      <c r="AD35" s="741" t="str">
        <f>IF(TITLE_NUMBER_PR_CHANGE="",IF(TITLE_NUMBER_PR="","",TITLE_NUMBER_PR),TITLE_NUMBER_PR_CHANGE)</f>
        <v/>
      </c>
      <c r="AE35" s="741"/>
      <c r="AF35" s="741"/>
      <c r="AG35" s="741"/>
      <c r="AH35" s="741"/>
      <c r="AI35" s="741"/>
      <c r="AJ35" s="741"/>
      <c r="AK35" s="4"/>
      <c r="AL35" s="4"/>
      <c r="AM35" s="96"/>
      <c r="AN35" s="46"/>
      <c r="AO35" s="46"/>
      <c r="AP35" s="46"/>
      <c r="AQ35" s="46"/>
      <c r="AR35" s="46"/>
      <c r="AS35" s="22">
        <v>0</v>
      </c>
    </row>
    <row r="36" spans="1:45" s="22" customFormat="1" ht="0" hidden="1" customHeight="1">
      <c r="A36" s="43"/>
      <c r="B36" s="43"/>
      <c r="C36" s="43"/>
      <c r="D36" s="43"/>
      <c r="E36" s="43"/>
      <c r="F36" s="43"/>
      <c r="G36" s="43"/>
      <c r="H36" s="43"/>
      <c r="I36" s="43"/>
      <c r="J36" s="43"/>
      <c r="K36" s="43"/>
      <c r="L36" s="43"/>
      <c r="M36" s="43"/>
      <c r="N36" s="43"/>
      <c r="O36" s="43"/>
      <c r="S36" s="4"/>
      <c r="T36" s="4"/>
      <c r="U36" s="4"/>
      <c r="V36" s="4"/>
      <c r="W36" s="4"/>
      <c r="X36" s="4"/>
      <c r="Y36" s="4"/>
      <c r="Z36" s="4"/>
      <c r="AA36" s="4"/>
      <c r="AB36" s="4"/>
      <c r="AC36" s="46" t="s">
        <v>430</v>
      </c>
      <c r="AD36" s="4"/>
      <c r="AE36" s="4"/>
      <c r="AF36" s="4"/>
      <c r="AG36" s="4"/>
      <c r="AH36" s="4"/>
      <c r="AI36" s="4"/>
      <c r="AJ36" s="4"/>
      <c r="AK36" s="46" t="s">
        <v>430</v>
      </c>
      <c r="AN36" s="46"/>
      <c r="AO36" s="46"/>
      <c r="AP36" s="46"/>
      <c r="AQ36" s="46"/>
      <c r="AR36" s="46"/>
      <c r="AS36" s="22">
        <v>0</v>
      </c>
    </row>
    <row r="37" spans="1:45" ht="14.65" customHeight="1">
      <c r="Q37" s="19"/>
      <c r="R37" s="19"/>
      <c r="S37" s="6"/>
      <c r="T37" s="6"/>
      <c r="U37" s="420"/>
      <c r="V37" s="755"/>
      <c r="W37" s="755"/>
      <c r="X37" s="755"/>
      <c r="Y37" s="755"/>
      <c r="Z37" s="755"/>
      <c r="AA37" s="755"/>
      <c r="AB37" s="755"/>
      <c r="AC37" s="755"/>
      <c r="AD37" s="755"/>
      <c r="AE37" s="755"/>
      <c r="AF37" s="755"/>
      <c r="AG37" s="755"/>
      <c r="AH37" s="755"/>
      <c r="AI37" s="755"/>
      <c r="AJ37" s="755"/>
      <c r="AK37" s="755"/>
      <c r="AS37" s="4">
        <v>14</v>
      </c>
    </row>
    <row r="38" spans="1:45" ht="14.65" customHeight="1">
      <c r="Q38" s="19"/>
      <c r="R38" s="19"/>
      <c r="S38" s="679" t="s">
        <v>303</v>
      </c>
      <c r="T38" s="679"/>
      <c r="U38" s="679"/>
      <c r="V38" s="679"/>
      <c r="W38" s="679"/>
      <c r="X38" s="679"/>
      <c r="Y38" s="679"/>
      <c r="Z38" s="679"/>
      <c r="AA38" s="679"/>
      <c r="AB38" s="679"/>
      <c r="AC38" s="679"/>
      <c r="AD38" s="679"/>
      <c r="AE38" s="679"/>
      <c r="AF38" s="679"/>
      <c r="AG38" s="679"/>
      <c r="AH38" s="679"/>
      <c r="AI38" s="679"/>
      <c r="AJ38" s="679"/>
      <c r="AK38" s="679"/>
      <c r="AL38" s="679"/>
      <c r="AM38" s="679" t="s">
        <v>304</v>
      </c>
      <c r="AS38" s="4">
        <v>14</v>
      </c>
    </row>
    <row r="39" spans="1:45" ht="14.65" customHeight="1">
      <c r="Q39" s="19"/>
      <c r="R39" s="19"/>
      <c r="S39" s="722" t="s">
        <v>88</v>
      </c>
      <c r="T39" s="722" t="s">
        <v>431</v>
      </c>
      <c r="U39" s="100"/>
      <c r="V39" s="756" t="s">
        <v>432</v>
      </c>
      <c r="W39" s="757"/>
      <c r="X39" s="757"/>
      <c r="Y39" s="757"/>
      <c r="Z39" s="757"/>
      <c r="AA39" s="757"/>
      <c r="AB39" s="758"/>
      <c r="AC39" s="724" t="s">
        <v>433</v>
      </c>
      <c r="AD39" s="756" t="s">
        <v>432</v>
      </c>
      <c r="AE39" s="757"/>
      <c r="AF39" s="757"/>
      <c r="AG39" s="757"/>
      <c r="AH39" s="757"/>
      <c r="AI39" s="757"/>
      <c r="AJ39" s="758"/>
      <c r="AK39" s="724" t="s">
        <v>434</v>
      </c>
      <c r="AL39" s="759" t="s">
        <v>435</v>
      </c>
      <c r="AM39" s="679"/>
      <c r="AS39" s="4">
        <v>14</v>
      </c>
    </row>
    <row r="40" spans="1:45" ht="35.65" customHeight="1">
      <c r="Q40" s="19"/>
      <c r="R40" s="19"/>
      <c r="S40" s="722"/>
      <c r="T40" s="722"/>
      <c r="U40" s="349"/>
      <c r="V40" s="673" t="s">
        <v>436</v>
      </c>
      <c r="W40" s="752" t="s">
        <v>437</v>
      </c>
      <c r="X40" s="662" t="s">
        <v>438</v>
      </c>
      <c r="Y40" s="661"/>
      <c r="Z40" s="662" t="s">
        <v>439</v>
      </c>
      <c r="AA40" s="666"/>
      <c r="AB40" s="661"/>
      <c r="AC40" s="725"/>
      <c r="AD40" s="673" t="s">
        <v>436</v>
      </c>
      <c r="AE40" s="752" t="s">
        <v>437</v>
      </c>
      <c r="AF40" s="662" t="s">
        <v>438</v>
      </c>
      <c r="AG40" s="661"/>
      <c r="AH40" s="662" t="s">
        <v>439</v>
      </c>
      <c r="AI40" s="666"/>
      <c r="AJ40" s="661"/>
      <c r="AK40" s="725"/>
      <c r="AL40" s="760"/>
      <c r="AM40" s="679"/>
      <c r="AS40" s="4">
        <v>34</v>
      </c>
    </row>
    <row r="41" spans="1:45" ht="35.65" customHeight="1">
      <c r="B41" s="43" t="s">
        <v>140</v>
      </c>
      <c r="C41" s="43" t="s">
        <v>141</v>
      </c>
      <c r="D41" s="43" t="s">
        <v>142</v>
      </c>
      <c r="E41" s="43" t="s">
        <v>440</v>
      </c>
      <c r="F41" s="43" t="s">
        <v>441</v>
      </c>
      <c r="G41" s="43" t="s">
        <v>442</v>
      </c>
      <c r="H41" s="43" t="s">
        <v>443</v>
      </c>
      <c r="I41" s="43" t="s">
        <v>444</v>
      </c>
      <c r="J41" s="43" t="s">
        <v>445</v>
      </c>
      <c r="K41" s="43" t="s">
        <v>446</v>
      </c>
      <c r="L41" s="43" t="s">
        <v>421</v>
      </c>
      <c r="Q41" s="19"/>
      <c r="R41" s="19"/>
      <c r="S41" s="722"/>
      <c r="T41" s="722"/>
      <c r="U41" s="101"/>
      <c r="V41" s="676"/>
      <c r="W41" s="753"/>
      <c r="X41" s="27" t="s">
        <v>447</v>
      </c>
      <c r="Y41" s="27" t="s">
        <v>448</v>
      </c>
      <c r="Z41" s="27" t="s">
        <v>449</v>
      </c>
      <c r="AA41" s="728" t="s">
        <v>450</v>
      </c>
      <c r="AB41" s="734"/>
      <c r="AC41" s="726"/>
      <c r="AD41" s="676"/>
      <c r="AE41" s="753"/>
      <c r="AF41" s="27" t="s">
        <v>447</v>
      </c>
      <c r="AG41" s="27" t="s">
        <v>448</v>
      </c>
      <c r="AH41" s="27" t="s">
        <v>449</v>
      </c>
      <c r="AI41" s="728" t="s">
        <v>450</v>
      </c>
      <c r="AJ41" s="734"/>
      <c r="AK41" s="726"/>
      <c r="AL41" s="761"/>
      <c r="AM41" s="679"/>
      <c r="AS41" s="4">
        <v>34</v>
      </c>
    </row>
    <row r="42" spans="1:45" s="117" customFormat="1" ht="11.25" hidden="1" customHeight="1">
      <c r="A42" s="43"/>
      <c r="B42" s="43"/>
      <c r="C42" s="43"/>
      <c r="D42" s="43"/>
      <c r="E42" s="43"/>
      <c r="F42" s="43"/>
      <c r="G42" s="43"/>
      <c r="H42" s="43"/>
      <c r="I42" s="43"/>
      <c r="J42" s="43"/>
      <c r="K42" s="43"/>
      <c r="L42" s="43"/>
      <c r="M42" s="167"/>
      <c r="N42" s="167"/>
      <c r="O42" s="167"/>
      <c r="P42" s="178"/>
      <c r="Q42" s="422"/>
      <c r="R42" s="424">
        <v>1</v>
      </c>
      <c r="S42" s="425" t="s">
        <v>110</v>
      </c>
      <c r="T42" s="425" t="s">
        <v>111</v>
      </c>
      <c r="U42" s="421" t="str">
        <f ca="1">OFFSET(U42,0,-1)</f>
        <v>2</v>
      </c>
      <c r="V42" s="426">
        <f ca="1">OFFSET(V42,0,-1)+1</f>
        <v>3</v>
      </c>
      <c r="W42" s="426"/>
      <c r="X42" s="426">
        <f ca="1">OFFSET(X42,0,-1)+1</f>
        <v>1</v>
      </c>
      <c r="Y42" s="426">
        <f ca="1">OFFSET(Y42,0,-1)+1</f>
        <v>2</v>
      </c>
      <c r="Z42" s="426">
        <f ca="1">OFFSET(Z42,0,-1)+1</f>
        <v>3</v>
      </c>
      <c r="AA42" s="754">
        <f ca="1">OFFSET(AA42,0,-1)+1</f>
        <v>4</v>
      </c>
      <c r="AB42" s="754"/>
      <c r="AC42" s="426">
        <f ca="1">OFFSET(AC42,0,-2)+1</f>
        <v>5</v>
      </c>
      <c r="AD42" s="426">
        <f ca="1">OFFSET(AD42,0,-1)+1</f>
        <v>6</v>
      </c>
      <c r="AE42" s="426"/>
      <c r="AF42" s="426">
        <f ca="1">OFFSET(AF42,0,-1)+1</f>
        <v>1</v>
      </c>
      <c r="AG42" s="426">
        <f ca="1">OFFSET(AG42,0,-1)+1</f>
        <v>2</v>
      </c>
      <c r="AH42" s="426">
        <f ca="1">OFFSET(AH42,0,-1)+1</f>
        <v>3</v>
      </c>
      <c r="AI42" s="754">
        <f ca="1">OFFSET(AI42,0,-1)+1</f>
        <v>4</v>
      </c>
      <c r="AJ42" s="754"/>
      <c r="AK42" s="426">
        <f ca="1">OFFSET(AK42,0,-2)+1</f>
        <v>5</v>
      </c>
      <c r="AL42" s="421">
        <f ca="1">OFFSET(AL42,0,-1)</f>
        <v>5</v>
      </c>
      <c r="AM42" s="426">
        <f ca="1">OFFSET(AM42,0,-1)+1</f>
        <v>6</v>
      </c>
      <c r="AN42" s="46"/>
      <c r="AO42" s="46"/>
      <c r="AP42" s="46"/>
      <c r="AQ42" s="46"/>
      <c r="AR42" s="46"/>
      <c r="AS42" s="117">
        <v>0</v>
      </c>
    </row>
    <row r="43" spans="1:45" ht="24" customHeight="1">
      <c r="A43" s="43" t="s">
        <v>161</v>
      </c>
      <c r="E43" s="745">
        <v>1</v>
      </c>
      <c r="M43" s="43"/>
      <c r="N43" s="43"/>
      <c r="O43" s="43"/>
      <c r="Q43" s="4"/>
      <c r="R43" s="119"/>
      <c r="S43" s="24">
        <f>INDEX(PT_DIFFERENTIATION_NUM_NTAR,MATCH(A43,PT_DIFFERENTIATION_NTAR_ID,0))</f>
        <v>0</v>
      </c>
      <c r="T43" s="29" t="s">
        <v>128</v>
      </c>
      <c r="U43" s="29"/>
      <c r="V43" s="742"/>
      <c r="W43" s="743"/>
      <c r="X43" s="743"/>
      <c r="Y43" s="743"/>
      <c r="Z43" s="743"/>
      <c r="AA43" s="743"/>
      <c r="AB43" s="743"/>
      <c r="AC43" s="744"/>
      <c r="AD43" s="742" t="str">
        <f>INDEX(PT_DIFFERENTIATION_NTAR,MATCH(A43,PT_DIFFERENTIATION_NTAR_ID,0))</f>
        <v/>
      </c>
      <c r="AE43" s="743"/>
      <c r="AF43" s="743"/>
      <c r="AG43" s="743"/>
      <c r="AH43" s="743"/>
      <c r="AI43" s="743"/>
      <c r="AJ43" s="743"/>
      <c r="AK43" s="743"/>
      <c r="AL43" s="744"/>
      <c r="AM43" s="42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P43" s="46" t="str">
        <f t="shared" ref="AP43:AP57" si="1">IF(T43="","",T43)</f>
        <v>Наименование тарифа</v>
      </c>
      <c r="AS43" s="4">
        <v>23</v>
      </c>
    </row>
    <row r="44" spans="1:45" ht="24" customHeight="1">
      <c r="A44" s="43" t="s">
        <v>161</v>
      </c>
      <c r="B44" s="43" t="s">
        <v>162</v>
      </c>
      <c r="E44" s="747"/>
      <c r="F44" s="745">
        <v>1</v>
      </c>
      <c r="M44" s="43"/>
      <c r="N44" s="43"/>
      <c r="O44" s="43"/>
      <c r="P44" s="4"/>
      <c r="Q44" s="118"/>
      <c r="R44" s="119"/>
      <c r="S44" s="24" t="str">
        <f>INDEX(PT_DIFFERENTIATION_NUM_TER,MATCH(B44,PT_DIFFERENTIATION_TER_ID,0))</f>
        <v>.</v>
      </c>
      <c r="T44" s="24" t="s">
        <v>400</v>
      </c>
      <c r="U44" s="29"/>
      <c r="V44" s="742"/>
      <c r="W44" s="743"/>
      <c r="X44" s="743"/>
      <c r="Y44" s="743"/>
      <c r="Z44" s="743"/>
      <c r="AA44" s="743"/>
      <c r="AB44" s="743"/>
      <c r="AC44" s="744"/>
      <c r="AD44" s="742" t="str">
        <f>INDEX(PT_DIFFERENTIATION_TER,MATCH(B44,PT_DIFFERENTIATION_TER_ID,0))</f>
        <v/>
      </c>
      <c r="AE44" s="743"/>
      <c r="AF44" s="743"/>
      <c r="AG44" s="743"/>
      <c r="AH44" s="743"/>
      <c r="AI44" s="743"/>
      <c r="AJ44" s="743"/>
      <c r="AK44" s="743"/>
      <c r="AL44" s="744"/>
      <c r="AM44" s="428" t="s">
        <v>401</v>
      </c>
      <c r="AP44" s="46" t="str">
        <f t="shared" si="1"/>
        <v>Территория действия тарифа</v>
      </c>
      <c r="AS44" s="4">
        <v>23</v>
      </c>
    </row>
    <row r="45" spans="1:45" ht="24" customHeight="1">
      <c r="A45" s="43" t="s">
        <v>161</v>
      </c>
      <c r="B45" s="43" t="s">
        <v>162</v>
      </c>
      <c r="C45" s="43" t="s">
        <v>163</v>
      </c>
      <c r="E45" s="747"/>
      <c r="F45" s="747"/>
      <c r="G45" s="745">
        <v>1</v>
      </c>
      <c r="M45" s="43"/>
      <c r="N45" s="43"/>
      <c r="O45" s="43"/>
      <c r="P45" s="16"/>
      <c r="Q45" s="118"/>
      <c r="R45" s="119"/>
      <c r="S45" s="24" t="str">
        <f>INDEX(PT_DIFFERENTIATION_NUM_CS,MATCH(C45,PT_DIFFERENTIATION_CS_ID,0))</f>
        <v>..</v>
      </c>
      <c r="T45" s="24" t="s">
        <v>402</v>
      </c>
      <c r="U45" s="29"/>
      <c r="V45" s="742"/>
      <c r="W45" s="743"/>
      <c r="X45" s="743"/>
      <c r="Y45" s="743"/>
      <c r="Z45" s="743"/>
      <c r="AA45" s="743"/>
      <c r="AB45" s="743"/>
      <c r="AC45" s="744"/>
      <c r="AD45" s="742" t="str">
        <f>INDEX(PT_DIFFERENTIATION_CS,MATCH(C45,PT_DIFFERENTIATION_CS_ID,0))</f>
        <v/>
      </c>
      <c r="AE45" s="743"/>
      <c r="AF45" s="743"/>
      <c r="AG45" s="743"/>
      <c r="AH45" s="743"/>
      <c r="AI45" s="743"/>
      <c r="AJ45" s="743"/>
      <c r="AK45" s="743"/>
      <c r="AL45" s="744"/>
      <c r="AM45" s="428" t="s">
        <v>403</v>
      </c>
      <c r="AP45" s="46" t="str">
        <f t="shared" si="1"/>
        <v xml:space="preserve">Наименование системы теплоснабжения </v>
      </c>
      <c r="AS45" s="4">
        <v>23</v>
      </c>
    </row>
    <row r="46" spans="1:45" ht="24" customHeight="1">
      <c r="A46" s="43" t="s">
        <v>161</v>
      </c>
      <c r="B46" s="43" t="s">
        <v>162</v>
      </c>
      <c r="C46" s="43" t="s">
        <v>163</v>
      </c>
      <c r="D46" s="43" t="s">
        <v>164</v>
      </c>
      <c r="E46" s="747"/>
      <c r="F46" s="747"/>
      <c r="G46" s="747"/>
      <c r="H46" s="745">
        <v>1</v>
      </c>
      <c r="M46" s="43"/>
      <c r="N46" s="43"/>
      <c r="O46" s="43"/>
      <c r="P46" s="16"/>
      <c r="Q46" s="118"/>
      <c r="R46" s="119"/>
      <c r="S46" s="24" t="str">
        <f>INDEX(PT_DIFFERENTIATION_NUM_IST_TE,MATCH(D46,PT_DIFFERENTIATION_IST_TE_ID,0))</f>
        <v>...</v>
      </c>
      <c r="T46" s="24" t="s">
        <v>404</v>
      </c>
      <c r="U46" s="29"/>
      <c r="V46" s="742"/>
      <c r="W46" s="743"/>
      <c r="X46" s="743"/>
      <c r="Y46" s="743"/>
      <c r="Z46" s="743"/>
      <c r="AA46" s="743"/>
      <c r="AB46" s="743"/>
      <c r="AC46" s="744"/>
      <c r="AD46" s="742" t="str">
        <f>INDEX(PT_DIFFERENTIATION_IST_TE,MATCH(D46,PT_DIFFERENTIATION_IST_TE_ID,0))</f>
        <v/>
      </c>
      <c r="AE46" s="743"/>
      <c r="AF46" s="743"/>
      <c r="AG46" s="743"/>
      <c r="AH46" s="743"/>
      <c r="AI46" s="743"/>
      <c r="AJ46" s="743"/>
      <c r="AK46" s="743"/>
      <c r="AL46" s="744"/>
      <c r="AM46" s="428" t="s">
        <v>405</v>
      </c>
      <c r="AP46" s="46" t="str">
        <f t="shared" si="1"/>
        <v xml:space="preserve">Источник тепловой энергии  </v>
      </c>
      <c r="AS46" s="4">
        <v>23</v>
      </c>
    </row>
    <row r="47" spans="1:45" ht="49.5" customHeight="1">
      <c r="A47" s="43" t="s">
        <v>161</v>
      </c>
      <c r="B47" s="43" t="s">
        <v>162</v>
      </c>
      <c r="C47" s="43" t="s">
        <v>163</v>
      </c>
      <c r="D47" s="43" t="s">
        <v>164</v>
      </c>
      <c r="E47" s="747"/>
      <c r="F47" s="747"/>
      <c r="G47" s="747"/>
      <c r="H47" s="747"/>
      <c r="I47" s="745" t="str">
        <f>S46&amp;".1"</f>
        <v>....1</v>
      </c>
      <c r="L47" s="43" t="s">
        <v>406</v>
      </c>
      <c r="P47" s="748">
        <v>1</v>
      </c>
      <c r="Q47" s="46"/>
      <c r="R47" s="120"/>
      <c r="S47" s="24" t="str">
        <f>$I47</f>
        <v>....1</v>
      </c>
      <c r="T47" s="24" t="s">
        <v>407</v>
      </c>
      <c r="U47" s="29"/>
      <c r="V47" s="737"/>
      <c r="W47" s="738"/>
      <c r="X47" s="738"/>
      <c r="Y47" s="738"/>
      <c r="Z47" s="738"/>
      <c r="AA47" s="738"/>
      <c r="AB47" s="738"/>
      <c r="AC47" s="739"/>
      <c r="AD47" s="737"/>
      <c r="AE47" s="738"/>
      <c r="AF47" s="738"/>
      <c r="AG47" s="738"/>
      <c r="AH47" s="738"/>
      <c r="AI47" s="738"/>
      <c r="AJ47" s="738"/>
      <c r="AK47" s="738"/>
      <c r="AL47" s="739"/>
      <c r="AM47" s="428" t="s">
        <v>408</v>
      </c>
      <c r="AP47" s="46" t="str">
        <f t="shared" si="1"/>
        <v>Схема подключения теплопотребляющей установки к коллектору источника тепловой энергии</v>
      </c>
      <c r="AS47" s="4">
        <v>47</v>
      </c>
    </row>
    <row r="48" spans="1:45" ht="24" customHeight="1">
      <c r="A48" s="43" t="s">
        <v>161</v>
      </c>
      <c r="B48" s="43" t="s">
        <v>162</v>
      </c>
      <c r="C48" s="43" t="s">
        <v>163</v>
      </c>
      <c r="D48" s="43" t="s">
        <v>164</v>
      </c>
      <c r="E48" s="747"/>
      <c r="F48" s="747"/>
      <c r="G48" s="747"/>
      <c r="H48" s="747"/>
      <c r="I48" s="747"/>
      <c r="J48" s="745" t="str">
        <f>I47&amp;".1"</f>
        <v>....1.1</v>
      </c>
      <c r="L48" s="43" t="s">
        <v>409</v>
      </c>
      <c r="P48" s="748"/>
      <c r="Q48" s="748">
        <v>1</v>
      </c>
      <c r="R48" s="120"/>
      <c r="S48" s="24" t="str">
        <f>$J48</f>
        <v>....1.1</v>
      </c>
      <c r="T48" s="24" t="s">
        <v>410</v>
      </c>
      <c r="U48" s="29"/>
      <c r="V48" s="737"/>
      <c r="W48" s="738"/>
      <c r="X48" s="738"/>
      <c r="Y48" s="738"/>
      <c r="Z48" s="738"/>
      <c r="AA48" s="738"/>
      <c r="AB48" s="738"/>
      <c r="AC48" s="739"/>
      <c r="AD48" s="737"/>
      <c r="AE48" s="738"/>
      <c r="AF48" s="738"/>
      <c r="AG48" s="738"/>
      <c r="AH48" s="738"/>
      <c r="AI48" s="738"/>
      <c r="AJ48" s="738"/>
      <c r="AK48" s="738"/>
      <c r="AL48" s="739"/>
      <c r="AM48" s="428" t="s">
        <v>411</v>
      </c>
      <c r="AP48" s="46" t="str">
        <f t="shared" si="1"/>
        <v>Группа потребителей</v>
      </c>
      <c r="AS48" s="4">
        <v>23</v>
      </c>
    </row>
    <row r="49" spans="1:45" ht="24" customHeight="1">
      <c r="A49" s="43" t="s">
        <v>161</v>
      </c>
      <c r="B49" s="43" t="s">
        <v>162</v>
      </c>
      <c r="C49" s="43" t="s">
        <v>163</v>
      </c>
      <c r="D49" s="43" t="s">
        <v>164</v>
      </c>
      <c r="E49" s="747"/>
      <c r="F49" s="747"/>
      <c r="G49" s="747"/>
      <c r="H49" s="747"/>
      <c r="I49" s="747"/>
      <c r="J49" s="747"/>
      <c r="K49" s="745" t="str">
        <f>J48&amp;".1"</f>
        <v>....1.1.1</v>
      </c>
      <c r="L49" s="43" t="s">
        <v>412</v>
      </c>
      <c r="P49" s="748"/>
      <c r="Q49" s="748"/>
      <c r="R49" s="120">
        <v>1</v>
      </c>
      <c r="S49" s="24" t="str">
        <f>$K49</f>
        <v>....1.1.1</v>
      </c>
      <c r="T49" s="356"/>
      <c r="U49" s="29"/>
      <c r="V49" s="168"/>
      <c r="W49" s="110"/>
      <c r="X49" s="168"/>
      <c r="Y49" s="427"/>
      <c r="Z49" s="749"/>
      <c r="AA49" s="688" t="s">
        <v>66</v>
      </c>
      <c r="AB49" s="749"/>
      <c r="AC49" s="688" t="s">
        <v>66</v>
      </c>
      <c r="AD49" s="168"/>
      <c r="AE49" s="110"/>
      <c r="AF49" s="168"/>
      <c r="AG49" s="427"/>
      <c r="AH49" s="749"/>
      <c r="AI49" s="688" t="s">
        <v>66</v>
      </c>
      <c r="AJ49" s="750"/>
      <c r="AK49" s="688" t="s">
        <v>66</v>
      </c>
      <c r="AL49" s="345"/>
      <c r="AM49" s="762" t="s">
        <v>413</v>
      </c>
      <c r="AN49" s="46" t="e">
        <f ca="1">STRCHECKDATE(V50:AL50)</f>
        <v>#NAME?</v>
      </c>
      <c r="AP49" s="46" t="str">
        <f t="shared" si="1"/>
        <v/>
      </c>
      <c r="AS49" s="4">
        <v>23</v>
      </c>
    </row>
    <row r="50" spans="1:45" ht="1.1499999999999999" customHeight="1">
      <c r="A50" s="43" t="s">
        <v>161</v>
      </c>
      <c r="B50" s="43" t="s">
        <v>162</v>
      </c>
      <c r="C50" s="43" t="s">
        <v>163</v>
      </c>
      <c r="D50" s="43" t="s">
        <v>164</v>
      </c>
      <c r="E50" s="747"/>
      <c r="F50" s="747"/>
      <c r="G50" s="747"/>
      <c r="H50" s="747"/>
      <c r="I50" s="747"/>
      <c r="J50" s="747"/>
      <c r="K50" s="745"/>
      <c r="P50" s="748"/>
      <c r="Q50" s="748"/>
      <c r="R50" s="120"/>
      <c r="S50" s="31"/>
      <c r="T50" s="29"/>
      <c r="U50" s="29"/>
      <c r="V50" s="110"/>
      <c r="W50" s="110"/>
      <c r="X50" s="110"/>
      <c r="Y50" s="111" t="str">
        <f>Z49&amp;"-"&amp;AB49</f>
        <v>-</v>
      </c>
      <c r="Z50" s="707"/>
      <c r="AA50" s="688"/>
      <c r="AB50" s="707"/>
      <c r="AC50" s="688"/>
      <c r="AD50" s="110"/>
      <c r="AE50" s="110"/>
      <c r="AF50" s="110"/>
      <c r="AG50" s="111" t="str">
        <f>AH49&amp;"-"&amp;AJ49</f>
        <v>-</v>
      </c>
      <c r="AH50" s="707"/>
      <c r="AI50" s="688"/>
      <c r="AJ50" s="751"/>
      <c r="AK50" s="688"/>
      <c r="AL50" s="450"/>
      <c r="AM50" s="763"/>
      <c r="AP50" s="46" t="str">
        <f t="shared" si="1"/>
        <v/>
      </c>
      <c r="AS50" s="4">
        <v>1</v>
      </c>
    </row>
    <row r="51" spans="1:45" ht="11.45" customHeight="1">
      <c r="A51" s="43" t="s">
        <v>161</v>
      </c>
      <c r="B51" s="43" t="s">
        <v>162</v>
      </c>
      <c r="C51" s="43" t="s">
        <v>163</v>
      </c>
      <c r="D51" s="43" t="s">
        <v>164</v>
      </c>
      <c r="E51" s="747"/>
      <c r="F51" s="747"/>
      <c r="G51" s="747"/>
      <c r="H51" s="747"/>
      <c r="I51" s="747"/>
      <c r="J51" s="745"/>
      <c r="P51" s="748"/>
      <c r="Q51" s="748"/>
      <c r="R51" s="120"/>
      <c r="S51" s="434"/>
      <c r="T51" s="37" t="s">
        <v>414</v>
      </c>
      <c r="U51" s="58"/>
      <c r="V51" s="58"/>
      <c r="W51" s="58"/>
      <c r="X51" s="58"/>
      <c r="Y51" s="58"/>
      <c r="Z51" s="58"/>
      <c r="AA51" s="58"/>
      <c r="AB51" s="58"/>
      <c r="AC51" s="58"/>
      <c r="AD51" s="58"/>
      <c r="AE51" s="58"/>
      <c r="AF51" s="58"/>
      <c r="AG51" s="58"/>
      <c r="AH51" s="58"/>
      <c r="AI51" s="58"/>
      <c r="AJ51" s="58"/>
      <c r="AK51" s="58"/>
      <c r="AL51" s="59"/>
      <c r="AM51" s="764"/>
      <c r="AP51" s="46" t="str">
        <f t="shared" si="1"/>
        <v>Добавить вид теплоносителя (параметры теплоносителя)</v>
      </c>
      <c r="AS51" s="4">
        <v>11</v>
      </c>
    </row>
    <row r="52" spans="1:45" ht="11.45" customHeight="1">
      <c r="A52" s="43" t="s">
        <v>161</v>
      </c>
      <c r="B52" s="43" t="s">
        <v>162</v>
      </c>
      <c r="C52" s="43" t="s">
        <v>163</v>
      </c>
      <c r="D52" s="43" t="s">
        <v>164</v>
      </c>
      <c r="E52" s="747"/>
      <c r="F52" s="747"/>
      <c r="G52" s="747"/>
      <c r="H52" s="747"/>
      <c r="I52" s="745"/>
      <c r="P52" s="748"/>
      <c r="Q52" s="46"/>
      <c r="R52" s="120"/>
      <c r="S52" s="434"/>
      <c r="T52" s="37" t="s">
        <v>415</v>
      </c>
      <c r="U52" s="58"/>
      <c r="V52" s="58"/>
      <c r="W52" s="58"/>
      <c r="X52" s="58"/>
      <c r="Y52" s="58"/>
      <c r="Z52" s="58"/>
      <c r="AA52" s="58"/>
      <c r="AB52" s="58"/>
      <c r="AC52" s="54"/>
      <c r="AD52" s="58"/>
      <c r="AE52" s="58"/>
      <c r="AF52" s="58"/>
      <c r="AG52" s="58"/>
      <c r="AH52" s="58"/>
      <c r="AI52" s="58"/>
      <c r="AJ52" s="58"/>
      <c r="AK52" s="54"/>
      <c r="AL52" s="58"/>
      <c r="AM52" s="102"/>
      <c r="AP52" s="46" t="str">
        <f t="shared" si="1"/>
        <v>Добавить группу потребителей</v>
      </c>
      <c r="AS52" s="4">
        <v>11</v>
      </c>
    </row>
    <row r="53" spans="1:45" ht="14.65" customHeight="1">
      <c r="A53" s="43" t="s">
        <v>161</v>
      </c>
      <c r="B53" s="43" t="s">
        <v>162</v>
      </c>
      <c r="C53" s="43" t="s">
        <v>163</v>
      </c>
      <c r="D53" s="43" t="s">
        <v>164</v>
      </c>
      <c r="E53" s="747"/>
      <c r="F53" s="747"/>
      <c r="G53" s="747"/>
      <c r="H53" s="745"/>
      <c r="M53" s="43"/>
      <c r="N53" s="43"/>
      <c r="O53" s="43"/>
      <c r="P53" s="4"/>
      <c r="R53" s="119"/>
      <c r="S53" s="434"/>
      <c r="T53" s="37" t="s">
        <v>416</v>
      </c>
      <c r="U53" s="58"/>
      <c r="V53" s="58"/>
      <c r="W53" s="58"/>
      <c r="X53" s="58"/>
      <c r="Y53" s="58"/>
      <c r="Z53" s="58"/>
      <c r="AA53" s="58"/>
      <c r="AB53" s="58"/>
      <c r="AC53" s="54"/>
      <c r="AD53" s="58"/>
      <c r="AE53" s="58"/>
      <c r="AF53" s="58"/>
      <c r="AG53" s="58"/>
      <c r="AH53" s="58"/>
      <c r="AI53" s="58"/>
      <c r="AJ53" s="58"/>
      <c r="AK53" s="54"/>
      <c r="AL53" s="58"/>
      <c r="AM53" s="102"/>
      <c r="AP53" s="46" t="str">
        <f t="shared" si="1"/>
        <v>Добавить схему подключения</v>
      </c>
      <c r="AS53" s="4">
        <v>14</v>
      </c>
    </row>
    <row r="54" spans="1:45" s="46" customFormat="1" ht="1.1499999999999999" customHeight="1">
      <c r="A54" s="46" t="s">
        <v>161</v>
      </c>
      <c r="B54" s="46" t="s">
        <v>162</v>
      </c>
      <c r="C54" s="46" t="s">
        <v>163</v>
      </c>
      <c r="E54" s="747"/>
      <c r="F54" s="747"/>
      <c r="G54" s="745"/>
      <c r="Q54" s="446"/>
      <c r="S54" s="449"/>
      <c r="T54" s="160" t="s">
        <v>417</v>
      </c>
      <c r="U54" s="160"/>
      <c r="V54" s="160"/>
      <c r="W54" s="160"/>
      <c r="X54" s="160"/>
      <c r="Y54" s="160"/>
      <c r="Z54" s="160"/>
      <c r="AA54" s="160"/>
      <c r="AB54" s="160"/>
      <c r="AC54" s="160"/>
      <c r="AD54" s="160"/>
      <c r="AE54" s="160"/>
      <c r="AF54" s="160"/>
      <c r="AG54" s="160"/>
      <c r="AH54" s="160"/>
      <c r="AI54" s="160"/>
      <c r="AJ54" s="160"/>
      <c r="AK54" s="160"/>
      <c r="AL54" s="160"/>
      <c r="AM54" s="160"/>
      <c r="AP54" s="46" t="str">
        <f t="shared" si="1"/>
        <v>Добавить источник для дифференциации</v>
      </c>
      <c r="AS54" s="46">
        <v>1</v>
      </c>
    </row>
    <row r="55" spans="1:45" s="46" customFormat="1" ht="1.1499999999999999" customHeight="1">
      <c r="A55" s="46" t="s">
        <v>161</v>
      </c>
      <c r="B55" s="46" t="s">
        <v>162</v>
      </c>
      <c r="E55" s="747"/>
      <c r="F55" s="745"/>
      <c r="M55" s="160"/>
      <c r="N55" s="160"/>
      <c r="Q55" s="446"/>
      <c r="S55" s="449"/>
      <c r="T55" s="160" t="s">
        <v>418</v>
      </c>
      <c r="U55" s="160"/>
      <c r="V55" s="160"/>
      <c r="W55" s="160"/>
      <c r="X55" s="160"/>
      <c r="Y55" s="160"/>
      <c r="Z55" s="160"/>
      <c r="AA55" s="160"/>
      <c r="AB55" s="160"/>
      <c r="AC55" s="160"/>
      <c r="AD55" s="160"/>
      <c r="AE55" s="160"/>
      <c r="AF55" s="160"/>
      <c r="AG55" s="160"/>
      <c r="AH55" s="160"/>
      <c r="AI55" s="160"/>
      <c r="AJ55" s="160"/>
      <c r="AK55" s="160"/>
      <c r="AL55" s="160"/>
      <c r="AM55" s="160"/>
      <c r="AP55" s="46" t="str">
        <f t="shared" si="1"/>
        <v>Добавить централизованную систему для дифференциации</v>
      </c>
      <c r="AS55" s="46">
        <v>1</v>
      </c>
    </row>
    <row r="56" spans="1:45" s="46" customFormat="1" ht="1.1499999999999999" customHeight="1">
      <c r="A56" s="46" t="s">
        <v>161</v>
      </c>
      <c r="E56" s="745"/>
      <c r="M56" s="160"/>
      <c r="N56" s="160"/>
      <c r="Q56" s="446"/>
      <c r="S56" s="449"/>
      <c r="T56" s="160" t="s">
        <v>419</v>
      </c>
      <c r="U56" s="160"/>
      <c r="V56" s="160"/>
      <c r="W56" s="160"/>
      <c r="X56" s="160"/>
      <c r="Y56" s="160"/>
      <c r="Z56" s="160"/>
      <c r="AA56" s="160"/>
      <c r="AB56" s="160"/>
      <c r="AC56" s="160"/>
      <c r="AD56" s="160"/>
      <c r="AE56" s="160"/>
      <c r="AF56" s="160"/>
      <c r="AG56" s="160"/>
      <c r="AH56" s="160"/>
      <c r="AI56" s="160"/>
      <c r="AJ56" s="160"/>
      <c r="AK56" s="160"/>
      <c r="AL56" s="160"/>
      <c r="AM56" s="160"/>
      <c r="AP56" s="46" t="str">
        <f t="shared" si="1"/>
        <v>Добавить территорию для дифференциации</v>
      </c>
      <c r="AS56" s="46">
        <v>1</v>
      </c>
    </row>
    <row r="57" spans="1:45" s="46" customFormat="1" ht="1.1499999999999999" customHeight="1">
      <c r="M57" s="160"/>
      <c r="N57" s="160"/>
      <c r="Q57" s="446"/>
      <c r="S57" s="449"/>
      <c r="T57" s="160" t="s">
        <v>451</v>
      </c>
      <c r="U57" s="160"/>
      <c r="V57" s="160"/>
      <c r="W57" s="160"/>
      <c r="X57" s="160"/>
      <c r="Y57" s="160"/>
      <c r="Z57" s="160"/>
      <c r="AA57" s="160"/>
      <c r="AB57" s="160"/>
      <c r="AC57" s="160"/>
      <c r="AD57" s="160"/>
      <c r="AE57" s="160"/>
      <c r="AF57" s="160"/>
      <c r="AG57" s="160"/>
      <c r="AH57" s="160"/>
      <c r="AI57" s="160"/>
      <c r="AJ57" s="160"/>
      <c r="AK57" s="160"/>
      <c r="AL57" s="160"/>
      <c r="AM57" s="160"/>
      <c r="AP57" s="46" t="str">
        <f t="shared" si="1"/>
        <v>Добавить наименование тарифа</v>
      </c>
      <c r="AS57" s="46">
        <v>1</v>
      </c>
    </row>
    <row r="58" spans="1:45" ht="11.45" customHeight="1">
      <c r="M58" s="43"/>
      <c r="N58" s="43"/>
      <c r="O58" s="43"/>
      <c r="P58" s="4"/>
      <c r="Q58" s="4"/>
      <c r="R58" s="4"/>
      <c r="AN58" s="4"/>
      <c r="AO58" s="4"/>
      <c r="AP58" s="4"/>
      <c r="AQ58" s="4"/>
      <c r="AR58" s="4"/>
      <c r="AS58" s="4">
        <v>11</v>
      </c>
    </row>
    <row r="59" spans="1:45" ht="28.5" customHeight="1">
      <c r="O59" s="43"/>
      <c r="T59" s="665"/>
      <c r="U59" s="665"/>
      <c r="V59" s="665"/>
      <c r="W59" s="665"/>
      <c r="X59" s="665"/>
      <c r="Y59" s="665"/>
      <c r="Z59" s="665"/>
      <c r="AA59" s="665"/>
      <c r="AB59" s="665"/>
      <c r="AC59" s="665"/>
      <c r="AD59" s="665"/>
      <c r="AE59" s="665"/>
      <c r="AF59" s="665"/>
      <c r="AG59" s="665"/>
      <c r="AH59" s="665"/>
      <c r="AI59" s="665"/>
      <c r="AJ59" s="665"/>
      <c r="AK59" s="665"/>
      <c r="AL59" s="665"/>
      <c r="AM59" s="665"/>
      <c r="AS59" s="4">
        <v>27</v>
      </c>
    </row>
    <row r="60" spans="1:45" ht="67.150000000000006" customHeight="1">
      <c r="O60" s="43"/>
      <c r="T60" s="665"/>
      <c r="U60" s="665"/>
      <c r="V60" s="665"/>
      <c r="W60" s="665"/>
      <c r="X60" s="665"/>
      <c r="Y60" s="665"/>
      <c r="Z60" s="665"/>
      <c r="AA60" s="665"/>
      <c r="AB60" s="665"/>
      <c r="AC60" s="665"/>
      <c r="AD60" s="665"/>
      <c r="AE60" s="665"/>
      <c r="AF60" s="665"/>
      <c r="AG60" s="665"/>
      <c r="AH60" s="665"/>
      <c r="AI60" s="665"/>
      <c r="AJ60" s="665"/>
      <c r="AK60" s="665"/>
      <c r="AL60" s="665"/>
      <c r="AM60" s="665"/>
      <c r="AS60" s="4">
        <v>64</v>
      </c>
    </row>
    <row r="61" spans="1:45" ht="14.65" customHeight="1">
      <c r="O61" s="43"/>
      <c r="AS61" s="4">
        <v>14</v>
      </c>
    </row>
    <row r="62" spans="1:45" ht="18.75" customHeight="1">
      <c r="O62" s="43"/>
      <c r="T62" s="665"/>
      <c r="U62" s="665"/>
      <c r="V62" s="665"/>
      <c r="W62" s="665"/>
      <c r="X62" s="665"/>
      <c r="Y62" s="665"/>
      <c r="Z62" s="665"/>
      <c r="AA62" s="665"/>
      <c r="AB62" s="665"/>
      <c r="AC62" s="665"/>
      <c r="AD62" s="665"/>
      <c r="AE62" s="665"/>
      <c r="AF62" s="665"/>
      <c r="AG62" s="665"/>
      <c r="AH62" s="665"/>
      <c r="AI62" s="665"/>
      <c r="AJ62" s="665"/>
      <c r="AK62" s="665"/>
      <c r="AL62" s="665"/>
      <c r="AM62" s="665"/>
      <c r="AS62" s="4">
        <v>18</v>
      </c>
    </row>
    <row r="63" spans="1:45" ht="18.75" customHeight="1">
      <c r="O63" s="43"/>
      <c r="T63" s="665"/>
      <c r="U63" s="665"/>
      <c r="V63" s="665"/>
      <c r="W63" s="665"/>
      <c r="X63" s="665"/>
      <c r="Y63" s="665"/>
      <c r="Z63" s="665"/>
      <c r="AA63" s="665"/>
      <c r="AB63" s="665"/>
      <c r="AC63" s="665"/>
      <c r="AD63" s="665"/>
      <c r="AE63" s="665"/>
      <c r="AF63" s="665"/>
      <c r="AG63" s="665"/>
      <c r="AH63" s="665"/>
      <c r="AI63" s="665"/>
      <c r="AJ63" s="665"/>
      <c r="AK63" s="665"/>
      <c r="AL63" s="665"/>
      <c r="AM63" s="665"/>
      <c r="AS63" s="4">
        <v>18</v>
      </c>
    </row>
    <row r="64" spans="1:45" ht="29.25" customHeight="1">
      <c r="O64" s="43"/>
      <c r="T64" s="665"/>
      <c r="U64" s="665"/>
      <c r="V64" s="665"/>
      <c r="W64" s="665"/>
      <c r="X64" s="665"/>
      <c r="Y64" s="665"/>
      <c r="Z64" s="665"/>
      <c r="AA64" s="665"/>
      <c r="AB64" s="665"/>
      <c r="AC64" s="665"/>
      <c r="AD64" s="665"/>
      <c r="AE64" s="665"/>
      <c r="AF64" s="665"/>
      <c r="AG64" s="665"/>
      <c r="AH64" s="665"/>
      <c r="AI64" s="665"/>
      <c r="AJ64" s="665"/>
      <c r="AK64" s="665"/>
      <c r="AL64" s="665"/>
      <c r="AM64" s="665"/>
      <c r="AS64" s="4">
        <v>28</v>
      </c>
    </row>
    <row r="65" spans="1:45" ht="22.5" hidden="1" customHeight="1">
      <c r="A65" s="43" t="s">
        <v>82</v>
      </c>
      <c r="B65" s="43">
        <v>0</v>
      </c>
      <c r="C65" s="43">
        <v>0</v>
      </c>
      <c r="D65" s="43">
        <v>0</v>
      </c>
      <c r="E65" s="43">
        <v>0</v>
      </c>
      <c r="F65" s="43">
        <v>0</v>
      </c>
      <c r="G65" s="43">
        <v>0</v>
      </c>
      <c r="H65" s="43">
        <v>0</v>
      </c>
      <c r="I65" s="43">
        <v>0</v>
      </c>
      <c r="J65" s="43">
        <v>0</v>
      </c>
      <c r="K65" s="43">
        <v>0</v>
      </c>
      <c r="L65" s="43">
        <v>0</v>
      </c>
      <c r="M65" s="167">
        <v>0</v>
      </c>
      <c r="N65" s="167">
        <v>0</v>
      </c>
      <c r="O65" s="167">
        <v>0</v>
      </c>
      <c r="P65" s="23">
        <v>3</v>
      </c>
      <c r="Q65" s="20">
        <v>3</v>
      </c>
      <c r="R65" s="20">
        <v>3</v>
      </c>
      <c r="S65" s="4">
        <v>12</v>
      </c>
      <c r="T65" s="4">
        <v>35</v>
      </c>
      <c r="U65" s="4">
        <v>0</v>
      </c>
      <c r="V65" s="4">
        <v>0</v>
      </c>
      <c r="W65" s="4">
        <v>0</v>
      </c>
      <c r="X65" s="4">
        <v>0</v>
      </c>
      <c r="Y65" s="4">
        <v>0</v>
      </c>
      <c r="Z65" s="4">
        <v>0</v>
      </c>
      <c r="AA65" s="4">
        <v>0</v>
      </c>
      <c r="AB65" s="4">
        <v>0</v>
      </c>
      <c r="AC65" s="4">
        <v>0</v>
      </c>
      <c r="AD65" s="4">
        <v>24</v>
      </c>
      <c r="AE65" s="4">
        <v>0</v>
      </c>
      <c r="AF65" s="4">
        <v>24</v>
      </c>
      <c r="AG65" s="4">
        <v>24</v>
      </c>
      <c r="AH65" s="4">
        <v>11</v>
      </c>
      <c r="AI65" s="4">
        <v>3</v>
      </c>
      <c r="AJ65" s="4">
        <v>11</v>
      </c>
      <c r="AK65" s="4">
        <v>0</v>
      </c>
      <c r="AL65" s="4">
        <v>4</v>
      </c>
      <c r="AM65" s="4">
        <v>115</v>
      </c>
      <c r="AN65" s="46">
        <v>10</v>
      </c>
      <c r="AO65" s="46">
        <v>10</v>
      </c>
      <c r="AP65" s="46">
        <v>10</v>
      </c>
      <c r="AQ65" s="46">
        <v>10</v>
      </c>
      <c r="AR65" s="46">
        <v>10</v>
      </c>
      <c r="AS65" s="4">
        <v>23</v>
      </c>
    </row>
  </sheetData>
  <sheetProtection formatColumns="0" formatRows="0" insertRows="0" deleteColumns="0" deleteRows="0" sort="0" autoFilter="0"/>
  <mergeCells count="112">
    <mergeCell ref="V43:AC43"/>
    <mergeCell ref="V44:AC44"/>
    <mergeCell ref="V45:AC45"/>
    <mergeCell ref="V46:AC46"/>
    <mergeCell ref="V47:AC47"/>
    <mergeCell ref="V48:AC48"/>
    <mergeCell ref="AD43:AL43"/>
    <mergeCell ref="AD44:AL44"/>
    <mergeCell ref="AD45:AL45"/>
    <mergeCell ref="AD46:AL46"/>
    <mergeCell ref="AD47:AL47"/>
    <mergeCell ref="AD48:AL48"/>
    <mergeCell ref="S26:AJ26"/>
    <mergeCell ref="S27:AJ27"/>
    <mergeCell ref="S29:T29"/>
    <mergeCell ref="S30:T30"/>
    <mergeCell ref="S31:T31"/>
    <mergeCell ref="S32:T32"/>
    <mergeCell ref="AD31:AJ31"/>
    <mergeCell ref="AD32:AJ32"/>
    <mergeCell ref="AD37:AK37"/>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xr:uid="{00000000-0002-0000-0A00-00000000000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xr:uid="{00000000-0002-0000-0A00-000001000000}"/>
    <dataValidation type="list" allowBlank="1" showInputMessage="1" showErrorMessage="1" errorTitle="Ошибка" error="Выберите значение из списка" sqref="T65585 T131121 T196657 T262193 T327729 T393265 T458801 T524337 T589873 T655409 T720945 T786481 T852017 T917553 T983089" xr:uid="{00000000-0002-0000-0A00-000002000000}">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xr:uid="{00000000-0002-0000-0A00-00000300000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xr:uid="{00000000-0002-0000-0A00-000004000000}">
      <formula1>kind_of_scheme_in</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xr:uid="{00000000-0002-0000-0A00-000005000000}"/>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xr:uid="{00000000-0002-0000-0A00-000006000000}">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xr:uid="{00000000-0002-0000-0A00-00000700000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4E10A6-FA74-5C8D-56C9-2C7F4C304B29}">
  <sheetPr>
    <tabColor theme="6" tint="0.39997558519241921"/>
  </sheetPr>
  <dimension ref="A1:AS65"/>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43" hidden="1"/>
    <col min="2" max="2" width="11" style="43" hidden="1" customWidth="1"/>
    <col min="3" max="3" width="10.5703125" style="43" hidden="1"/>
    <col min="4" max="4" width="11.85546875" style="43" hidden="1" customWidth="1"/>
    <col min="5" max="5" width="10" style="43" hidden="1" customWidth="1"/>
    <col min="6" max="6" width="8.7109375" style="43" hidden="1" customWidth="1"/>
    <col min="7" max="7" width="7.5703125" style="43" hidden="1" customWidth="1"/>
    <col min="8" max="8" width="11.42578125" style="43" hidden="1" customWidth="1"/>
    <col min="9" max="9" width="12" style="43" hidden="1" customWidth="1"/>
    <col min="10" max="10" width="9.85546875" style="43" hidden="1" customWidth="1"/>
    <col min="11" max="11" width="11.42578125" style="43" hidden="1" customWidth="1"/>
    <col min="12" max="12" width="19.140625" style="43" hidden="1" customWidth="1"/>
    <col min="13" max="14" width="12.28515625" style="167" hidden="1" customWidth="1"/>
    <col min="15" max="15" width="23.42578125" style="167" hidden="1" customWidth="1"/>
    <col min="16" max="16" width="3" style="23" customWidth="1"/>
    <col min="17" max="18" width="3" style="20" customWidth="1"/>
    <col min="19" max="19" width="12" style="4" customWidth="1"/>
    <col min="20" max="20" width="31" style="4" customWidth="1"/>
    <col min="21" max="21" width="0.140625" style="4" customWidth="1"/>
    <col min="22" max="22" width="24.7109375" style="4" hidden="1" customWidth="1"/>
    <col min="23" max="23" width="0.140625" style="4" hidden="1" customWidth="1"/>
    <col min="24" max="25" width="24.7109375" style="4" hidden="1" customWidth="1"/>
    <col min="26" max="26" width="11.7109375" style="4" hidden="1" customWidth="1"/>
    <col min="27" max="27" width="3.7109375" style="4" hidden="1" customWidth="1"/>
    <col min="28" max="28" width="11.7109375" style="4" hidden="1" customWidth="1"/>
    <col min="29" max="29" width="8.5703125" style="4" hidden="1" customWidth="1"/>
    <col min="30" max="30" width="24.7109375" style="4" customWidth="1"/>
    <col min="31" max="31" width="0.140625" style="4" customWidth="1"/>
    <col min="32" max="33" width="24" style="4" customWidth="1"/>
    <col min="34" max="34" width="11" style="4" customWidth="1"/>
    <col min="35" max="35" width="3.7109375" style="4" customWidth="1"/>
    <col min="36" max="36" width="11" style="4" customWidth="1"/>
    <col min="37" max="37" width="8.5703125" style="4" hidden="1" customWidth="1"/>
    <col min="38" max="38" width="4" style="4" customWidth="1"/>
    <col min="39" max="39" width="115" style="4" customWidth="1"/>
    <col min="40" max="44" width="10" style="46" customWidth="1"/>
    <col min="45" max="45" width="10.5703125" style="4" hidden="1"/>
  </cols>
  <sheetData>
    <row r="1" spans="5:45" ht="22.5" hidden="1" customHeight="1">
      <c r="AS1" s="4" t="s">
        <v>14</v>
      </c>
    </row>
    <row r="2" spans="5:45" ht="21" hidden="1" customHeight="1">
      <c r="E2" s="745">
        <v>1</v>
      </c>
      <c r="M2" s="43"/>
      <c r="N2" s="43"/>
      <c r="O2" s="43"/>
      <c r="Q2" s="4"/>
      <c r="R2" s="119"/>
      <c r="S2" s="24" t="e">
        <f>INDEX(PT_DIFFERENTIATION_NUM_NTAR,MATCH(A2,PT_DIFFERENTIATION_NTAR_ID,0))</f>
        <v>#N/A</v>
      </c>
      <c r="T2" s="29" t="s">
        <v>128</v>
      </c>
      <c r="U2" s="29"/>
      <c r="V2" s="742"/>
      <c r="W2" s="743"/>
      <c r="X2" s="743"/>
      <c r="Y2" s="743"/>
      <c r="Z2" s="743"/>
      <c r="AA2" s="743"/>
      <c r="AB2" s="743"/>
      <c r="AC2" s="744"/>
      <c r="AD2" s="742" t="e">
        <f>INDEX(PT_DIFFERENTIATION_NTAR,MATCH(A2,PT_DIFFERENTIATION_NTAR_ID,0))</f>
        <v>#N/A</v>
      </c>
      <c r="AE2" s="743"/>
      <c r="AF2" s="743"/>
      <c r="AG2" s="743"/>
      <c r="AH2" s="743"/>
      <c r="AI2" s="743"/>
      <c r="AJ2" s="743"/>
      <c r="AK2" s="743"/>
      <c r="AL2" s="744"/>
      <c r="AM2" s="428" t="s">
        <v>399</v>
      </c>
      <c r="AP2" s="46" t="str">
        <f t="shared" ref="AP2:AP15" si="0">IF(T2="","",T2)</f>
        <v>Наименование тарифа</v>
      </c>
      <c r="AS2" s="4">
        <v>0</v>
      </c>
    </row>
    <row r="3" spans="5:45" ht="21" hidden="1" customHeight="1">
      <c r="E3" s="747"/>
      <c r="F3" s="745">
        <v>1</v>
      </c>
      <c r="M3" s="43"/>
      <c r="N3" s="43"/>
      <c r="O3" s="43"/>
      <c r="P3" s="4"/>
      <c r="Q3" s="118"/>
      <c r="R3" s="119"/>
      <c r="S3" s="24" t="e">
        <f>INDEX(PT_DIFFERENTIATION_NUM_TER,MATCH(B3,PT_DIFFERENTIATION_TER_ID,0))</f>
        <v>#N/A</v>
      </c>
      <c r="T3" s="24" t="s">
        <v>400</v>
      </c>
      <c r="U3" s="29"/>
      <c r="V3" s="742"/>
      <c r="W3" s="743"/>
      <c r="X3" s="743"/>
      <c r="Y3" s="743"/>
      <c r="Z3" s="743"/>
      <c r="AA3" s="743"/>
      <c r="AB3" s="743"/>
      <c r="AC3" s="744"/>
      <c r="AD3" s="742" t="e">
        <f>INDEX(PT_DIFFERENTIATION_TER,MATCH(B3,PT_DIFFERENTIATION_TER_ID,0))</f>
        <v>#N/A</v>
      </c>
      <c r="AE3" s="743"/>
      <c r="AF3" s="743"/>
      <c r="AG3" s="743"/>
      <c r="AH3" s="743"/>
      <c r="AI3" s="743"/>
      <c r="AJ3" s="743"/>
      <c r="AK3" s="743"/>
      <c r="AL3" s="744"/>
      <c r="AM3" s="428" t="s">
        <v>401</v>
      </c>
      <c r="AP3" s="46" t="str">
        <f t="shared" si="0"/>
        <v>Территория действия тарифа</v>
      </c>
      <c r="AS3" s="4">
        <v>0</v>
      </c>
    </row>
    <row r="4" spans="5:45" ht="23.25" hidden="1" customHeight="1">
      <c r="E4" s="747"/>
      <c r="F4" s="747"/>
      <c r="G4" s="745">
        <v>1</v>
      </c>
      <c r="M4" s="43"/>
      <c r="N4" s="43"/>
      <c r="O4" s="43"/>
      <c r="P4" s="16"/>
      <c r="Q4" s="118"/>
      <c r="R4" s="119"/>
      <c r="S4" s="24" t="e">
        <f>INDEX(PT_DIFFERENTIATION_NUM_CS,MATCH(C4,PT_DIFFERENTIATION_CS_ID,0))</f>
        <v>#N/A</v>
      </c>
      <c r="T4" s="24" t="s">
        <v>402</v>
      </c>
      <c r="U4" s="29"/>
      <c r="V4" s="742"/>
      <c r="W4" s="743"/>
      <c r="X4" s="743"/>
      <c r="Y4" s="743"/>
      <c r="Z4" s="743"/>
      <c r="AA4" s="743"/>
      <c r="AB4" s="743"/>
      <c r="AC4" s="744"/>
      <c r="AD4" s="742" t="e">
        <f>INDEX(PT_DIFFERENTIATION_CS,MATCH(C4,PT_DIFFERENTIATION_CS_ID,0))</f>
        <v>#N/A</v>
      </c>
      <c r="AE4" s="743"/>
      <c r="AF4" s="743"/>
      <c r="AG4" s="743"/>
      <c r="AH4" s="743"/>
      <c r="AI4" s="743"/>
      <c r="AJ4" s="743"/>
      <c r="AK4" s="743"/>
      <c r="AL4" s="744"/>
      <c r="AM4" s="428" t="s">
        <v>403</v>
      </c>
      <c r="AP4" s="46" t="str">
        <f t="shared" si="0"/>
        <v xml:space="preserve">Наименование системы теплоснабжения </v>
      </c>
      <c r="AS4" s="4">
        <v>0</v>
      </c>
    </row>
    <row r="5" spans="5:45" ht="21" hidden="1" customHeight="1">
      <c r="E5" s="747"/>
      <c r="F5" s="747"/>
      <c r="G5" s="747"/>
      <c r="H5" s="745">
        <v>1</v>
      </c>
      <c r="M5" s="43"/>
      <c r="N5" s="43"/>
      <c r="O5" s="43"/>
      <c r="P5" s="16"/>
      <c r="Q5" s="118"/>
      <c r="R5" s="119"/>
      <c r="S5" s="24" t="e">
        <f>INDEX(PT_DIFFERENTIATION_NUM_IST_TE,MATCH(D5,PT_DIFFERENTIATION_IST_TE_ID,0))</f>
        <v>#N/A</v>
      </c>
      <c r="T5" s="24" t="s">
        <v>404</v>
      </c>
      <c r="U5" s="29"/>
      <c r="V5" s="742"/>
      <c r="W5" s="743"/>
      <c r="X5" s="743"/>
      <c r="Y5" s="743"/>
      <c r="Z5" s="743"/>
      <c r="AA5" s="743"/>
      <c r="AB5" s="743"/>
      <c r="AC5" s="744"/>
      <c r="AD5" s="742" t="e">
        <f>INDEX(PT_DIFFERENTIATION_IST_TE,MATCH(D5,PT_DIFFERENTIATION_IST_TE_ID,0))</f>
        <v>#N/A</v>
      </c>
      <c r="AE5" s="743"/>
      <c r="AF5" s="743"/>
      <c r="AG5" s="743"/>
      <c r="AH5" s="743"/>
      <c r="AI5" s="743"/>
      <c r="AJ5" s="743"/>
      <c r="AK5" s="743"/>
      <c r="AL5" s="744"/>
      <c r="AM5" s="428" t="s">
        <v>405</v>
      </c>
      <c r="AP5" s="46" t="str">
        <f t="shared" si="0"/>
        <v xml:space="preserve">Источник тепловой энергии  </v>
      </c>
      <c r="AS5" s="4">
        <v>0</v>
      </c>
    </row>
    <row r="6" spans="5:45" ht="47.25" hidden="1" customHeight="1">
      <c r="E6" s="747"/>
      <c r="F6" s="747"/>
      <c r="G6" s="747"/>
      <c r="H6" s="747"/>
      <c r="I6" s="745" t="e">
        <f>S5&amp;".1"</f>
        <v>#N/A</v>
      </c>
      <c r="L6" s="43" t="s">
        <v>406</v>
      </c>
      <c r="M6" s="43"/>
      <c r="P6" s="748">
        <v>1</v>
      </c>
      <c r="Q6" s="46"/>
      <c r="R6" s="120"/>
      <c r="S6" s="24" t="e">
        <f>$I6</f>
        <v>#N/A</v>
      </c>
      <c r="T6" s="24" t="s">
        <v>407</v>
      </c>
      <c r="U6" s="29"/>
      <c r="V6" s="737"/>
      <c r="W6" s="738"/>
      <c r="X6" s="738"/>
      <c r="Y6" s="738"/>
      <c r="Z6" s="738"/>
      <c r="AA6" s="738"/>
      <c r="AB6" s="738"/>
      <c r="AC6" s="739"/>
      <c r="AD6" s="737"/>
      <c r="AE6" s="738"/>
      <c r="AF6" s="738"/>
      <c r="AG6" s="738"/>
      <c r="AH6" s="738"/>
      <c r="AI6" s="738"/>
      <c r="AJ6" s="738"/>
      <c r="AK6" s="738"/>
      <c r="AL6" s="739"/>
      <c r="AM6" s="428" t="s">
        <v>408</v>
      </c>
      <c r="AP6" s="46" t="str">
        <f t="shared" si="0"/>
        <v>Схема подключения теплопотребляющей установки к коллектору источника тепловой энергии</v>
      </c>
      <c r="AS6" s="4">
        <v>0</v>
      </c>
    </row>
    <row r="7" spans="5:45" ht="21" hidden="1" customHeight="1">
      <c r="E7" s="747"/>
      <c r="F7" s="747"/>
      <c r="G7" s="747"/>
      <c r="H7" s="747"/>
      <c r="I7" s="747"/>
      <c r="J7" s="745" t="e">
        <f>I6&amp;".1"</f>
        <v>#N/A</v>
      </c>
      <c r="L7" s="43" t="s">
        <v>409</v>
      </c>
      <c r="M7" s="43"/>
      <c r="N7" s="43"/>
      <c r="P7" s="748"/>
      <c r="Q7" s="748">
        <v>1</v>
      </c>
      <c r="R7" s="120"/>
      <c r="S7" s="24" t="e">
        <f>$J7</f>
        <v>#N/A</v>
      </c>
      <c r="T7" s="24" t="s">
        <v>410</v>
      </c>
      <c r="U7" s="29"/>
      <c r="V7" s="737"/>
      <c r="W7" s="738"/>
      <c r="X7" s="738"/>
      <c r="Y7" s="738"/>
      <c r="Z7" s="738"/>
      <c r="AA7" s="738"/>
      <c r="AB7" s="738"/>
      <c r="AC7" s="739"/>
      <c r="AD7" s="737"/>
      <c r="AE7" s="738"/>
      <c r="AF7" s="738"/>
      <c r="AG7" s="738"/>
      <c r="AH7" s="738"/>
      <c r="AI7" s="738"/>
      <c r="AJ7" s="738"/>
      <c r="AK7" s="738"/>
      <c r="AL7" s="739"/>
      <c r="AM7" s="428" t="s">
        <v>411</v>
      </c>
      <c r="AP7" s="46" t="str">
        <f t="shared" si="0"/>
        <v>Группа потребителей</v>
      </c>
      <c r="AS7" s="4">
        <v>0</v>
      </c>
    </row>
    <row r="8" spans="5:45" ht="21" hidden="1" customHeight="1">
      <c r="E8" s="747"/>
      <c r="F8" s="747"/>
      <c r="G8" s="747"/>
      <c r="H8" s="747"/>
      <c r="I8" s="747"/>
      <c r="J8" s="747"/>
      <c r="K8" s="745" t="e">
        <f>J7&amp;".1"</f>
        <v>#N/A</v>
      </c>
      <c r="L8" s="43" t="s">
        <v>412</v>
      </c>
      <c r="M8" s="43"/>
      <c r="N8" s="43"/>
      <c r="O8" s="43"/>
      <c r="P8" s="748"/>
      <c r="Q8" s="748"/>
      <c r="R8" s="120">
        <v>1</v>
      </c>
      <c r="S8" s="24" t="e">
        <f>$K8</f>
        <v>#N/A</v>
      </c>
      <c r="T8" s="356"/>
      <c r="U8" s="29"/>
      <c r="V8" s="168"/>
      <c r="W8" s="110"/>
      <c r="X8" s="168"/>
      <c r="Y8" s="427"/>
      <c r="Z8" s="749"/>
      <c r="AA8" s="688" t="s">
        <v>66</v>
      </c>
      <c r="AB8" s="749"/>
      <c r="AC8" s="688" t="s">
        <v>66</v>
      </c>
      <c r="AD8" s="168"/>
      <c r="AE8" s="110"/>
      <c r="AF8" s="168"/>
      <c r="AG8" s="427"/>
      <c r="AH8" s="749"/>
      <c r="AI8" s="688" t="s">
        <v>66</v>
      </c>
      <c r="AJ8" s="749"/>
      <c r="AK8" s="688" t="s">
        <v>66</v>
      </c>
      <c r="AL8" s="110"/>
      <c r="AM8" s="762" t="s">
        <v>413</v>
      </c>
      <c r="AN8" s="46" t="e">
        <f ca="1">STRCHECKDATE(V9:AL9)</f>
        <v>#NAME?</v>
      </c>
      <c r="AP8" s="46" t="str">
        <f t="shared" si="0"/>
        <v/>
      </c>
      <c r="AS8" s="4">
        <v>0</v>
      </c>
    </row>
    <row r="9" spans="5:45" ht="0.75" hidden="1" customHeight="1">
      <c r="E9" s="747"/>
      <c r="F9" s="747"/>
      <c r="G9" s="747"/>
      <c r="H9" s="747"/>
      <c r="I9" s="747"/>
      <c r="J9" s="747"/>
      <c r="K9" s="745"/>
      <c r="M9" s="43"/>
      <c r="N9" s="43"/>
      <c r="O9" s="43"/>
      <c r="P9" s="748"/>
      <c r="Q9" s="748"/>
      <c r="R9" s="120"/>
      <c r="S9" s="31"/>
      <c r="T9" s="29"/>
      <c r="U9" s="29"/>
      <c r="V9" s="110"/>
      <c r="W9" s="110"/>
      <c r="X9" s="110"/>
      <c r="Y9" s="111" t="str">
        <f>Z8&amp;"-"&amp;AB8</f>
        <v>-</v>
      </c>
      <c r="Z9" s="707"/>
      <c r="AA9" s="688"/>
      <c r="AB9" s="707"/>
      <c r="AC9" s="688"/>
      <c r="AD9" s="110"/>
      <c r="AE9" s="110"/>
      <c r="AF9" s="110"/>
      <c r="AG9" s="111" t="str">
        <f>AH8&amp;"-"&amp;AJ8</f>
        <v>-</v>
      </c>
      <c r="AH9" s="707"/>
      <c r="AI9" s="688"/>
      <c r="AJ9" s="707"/>
      <c r="AK9" s="688"/>
      <c r="AL9" s="110"/>
      <c r="AM9" s="763"/>
      <c r="AP9" s="46" t="str">
        <f t="shared" si="0"/>
        <v/>
      </c>
      <c r="AS9" s="4">
        <v>0</v>
      </c>
    </row>
    <row r="10" spans="5:45" ht="15" hidden="1" customHeight="1">
      <c r="E10" s="747"/>
      <c r="F10" s="747"/>
      <c r="G10" s="747"/>
      <c r="H10" s="747"/>
      <c r="I10" s="747"/>
      <c r="J10" s="745"/>
      <c r="M10" s="43"/>
      <c r="N10" s="43"/>
      <c r="P10" s="748"/>
      <c r="Q10" s="748"/>
      <c r="R10" s="120"/>
      <c r="S10" s="434"/>
      <c r="T10" s="37" t="s">
        <v>414</v>
      </c>
      <c r="U10" s="58"/>
      <c r="V10" s="58"/>
      <c r="W10" s="58"/>
      <c r="X10" s="58"/>
      <c r="Y10" s="58"/>
      <c r="Z10" s="58"/>
      <c r="AA10" s="58"/>
      <c r="AB10" s="58"/>
      <c r="AC10" s="58"/>
      <c r="AD10" s="58"/>
      <c r="AE10" s="58"/>
      <c r="AF10" s="58"/>
      <c r="AG10" s="58"/>
      <c r="AH10" s="58"/>
      <c r="AI10" s="58"/>
      <c r="AJ10" s="58"/>
      <c r="AK10" s="58"/>
      <c r="AL10" s="59"/>
      <c r="AM10" s="764"/>
      <c r="AP10" s="46" t="str">
        <f t="shared" si="0"/>
        <v>Добавить вид теплоносителя (параметры теплоносителя)</v>
      </c>
      <c r="AS10" s="4">
        <v>0</v>
      </c>
    </row>
    <row r="11" spans="5:45" ht="15" hidden="1" customHeight="1">
      <c r="E11" s="747"/>
      <c r="F11" s="747"/>
      <c r="G11" s="747"/>
      <c r="H11" s="747"/>
      <c r="I11" s="745"/>
      <c r="M11" s="43"/>
      <c r="P11" s="748"/>
      <c r="Q11" s="46"/>
      <c r="R11" s="120"/>
      <c r="S11" s="434"/>
      <c r="T11" s="37" t="s">
        <v>415</v>
      </c>
      <c r="U11" s="58"/>
      <c r="V11" s="58"/>
      <c r="W11" s="58"/>
      <c r="X11" s="58"/>
      <c r="Y11" s="58"/>
      <c r="Z11" s="58"/>
      <c r="AA11" s="58"/>
      <c r="AB11" s="58"/>
      <c r="AC11" s="54"/>
      <c r="AD11" s="58"/>
      <c r="AE11" s="58"/>
      <c r="AF11" s="58"/>
      <c r="AG11" s="58"/>
      <c r="AH11" s="58"/>
      <c r="AI11" s="58"/>
      <c r="AJ11" s="58"/>
      <c r="AK11" s="54"/>
      <c r="AL11" s="58"/>
      <c r="AM11" s="102"/>
      <c r="AP11" s="46" t="str">
        <f t="shared" si="0"/>
        <v>Добавить группу потребителей</v>
      </c>
      <c r="AS11" s="4">
        <v>0</v>
      </c>
    </row>
    <row r="12" spans="5:45" ht="14.25" hidden="1" customHeight="1">
      <c r="E12" s="747"/>
      <c r="F12" s="747"/>
      <c r="G12" s="747"/>
      <c r="H12" s="745"/>
      <c r="M12" s="43"/>
      <c r="N12" s="43"/>
      <c r="O12" s="43"/>
      <c r="P12" s="4"/>
      <c r="R12" s="119"/>
      <c r="S12" s="434"/>
      <c r="T12" s="37" t="s">
        <v>416</v>
      </c>
      <c r="U12" s="58"/>
      <c r="V12" s="58"/>
      <c r="W12" s="58"/>
      <c r="X12" s="58"/>
      <c r="Y12" s="58"/>
      <c r="Z12" s="58"/>
      <c r="AA12" s="58"/>
      <c r="AB12" s="58"/>
      <c r="AC12" s="54"/>
      <c r="AD12" s="58"/>
      <c r="AE12" s="58"/>
      <c r="AF12" s="58"/>
      <c r="AG12" s="58"/>
      <c r="AH12" s="58"/>
      <c r="AI12" s="58"/>
      <c r="AJ12" s="58"/>
      <c r="AK12" s="54"/>
      <c r="AL12" s="58"/>
      <c r="AM12" s="102"/>
      <c r="AP12" s="46" t="str">
        <f t="shared" si="0"/>
        <v>Добавить схему подключения</v>
      </c>
      <c r="AS12" s="4">
        <v>0</v>
      </c>
    </row>
    <row r="13" spans="5:45" s="46" customFormat="1" ht="0.75" hidden="1" customHeight="1">
      <c r="E13" s="747"/>
      <c r="F13" s="747"/>
      <c r="G13" s="745"/>
      <c r="Q13" s="446"/>
      <c r="S13" s="447"/>
      <c r="T13" s="448" t="s">
        <v>417</v>
      </c>
      <c r="U13" s="448"/>
      <c r="V13" s="448"/>
      <c r="W13" s="448"/>
      <c r="X13" s="448"/>
      <c r="Y13" s="448"/>
      <c r="Z13" s="448"/>
      <c r="AA13" s="448"/>
      <c r="AB13" s="448"/>
      <c r="AC13" s="448"/>
      <c r="AD13" s="448"/>
      <c r="AE13" s="448"/>
      <c r="AF13" s="448"/>
      <c r="AG13" s="448"/>
      <c r="AH13" s="448"/>
      <c r="AI13" s="448"/>
      <c r="AJ13" s="448"/>
      <c r="AK13" s="448"/>
      <c r="AL13" s="448"/>
      <c r="AM13" s="448"/>
      <c r="AP13" s="46" t="str">
        <f t="shared" si="0"/>
        <v>Добавить источник для дифференциации</v>
      </c>
      <c r="AS13" s="46">
        <v>0</v>
      </c>
    </row>
    <row r="14" spans="5:45" s="46" customFormat="1" ht="0.75" hidden="1" customHeight="1">
      <c r="E14" s="747"/>
      <c r="F14" s="745"/>
      <c r="M14" s="160"/>
      <c r="N14" s="160"/>
      <c r="Q14" s="446"/>
      <c r="S14" s="449"/>
      <c r="T14" s="160" t="s">
        <v>418</v>
      </c>
      <c r="U14" s="160"/>
      <c r="V14" s="160"/>
      <c r="W14" s="160"/>
      <c r="X14" s="160"/>
      <c r="Y14" s="160"/>
      <c r="Z14" s="160"/>
      <c r="AA14" s="160"/>
      <c r="AB14" s="160"/>
      <c r="AC14" s="160"/>
      <c r="AD14" s="160"/>
      <c r="AE14" s="160"/>
      <c r="AF14" s="160"/>
      <c r="AG14" s="160"/>
      <c r="AH14" s="160"/>
      <c r="AI14" s="160"/>
      <c r="AJ14" s="160"/>
      <c r="AK14" s="160"/>
      <c r="AL14" s="160"/>
      <c r="AM14" s="160"/>
      <c r="AP14" s="46" t="str">
        <f t="shared" si="0"/>
        <v>Добавить централизованную систему для дифференциации</v>
      </c>
      <c r="AS14" s="46">
        <v>0</v>
      </c>
    </row>
    <row r="15" spans="5:45" s="46" customFormat="1" ht="0.75" hidden="1" customHeight="1">
      <c r="E15" s="745"/>
      <c r="M15" s="160"/>
      <c r="N15" s="160"/>
      <c r="Q15" s="446"/>
      <c r="S15" s="449"/>
      <c r="T15" s="160" t="s">
        <v>419</v>
      </c>
      <c r="U15" s="160"/>
      <c r="V15" s="160"/>
      <c r="W15" s="160"/>
      <c r="X15" s="160"/>
      <c r="Y15" s="160"/>
      <c r="Z15" s="160"/>
      <c r="AA15" s="160"/>
      <c r="AB15" s="160"/>
      <c r="AC15" s="160"/>
      <c r="AD15" s="160"/>
      <c r="AE15" s="160"/>
      <c r="AF15" s="160"/>
      <c r="AG15" s="160"/>
      <c r="AH15" s="160"/>
      <c r="AI15" s="160"/>
      <c r="AJ15" s="160"/>
      <c r="AK15" s="160"/>
      <c r="AL15" s="160"/>
      <c r="AM15" s="160"/>
      <c r="AP15" s="46" t="str">
        <f t="shared" si="0"/>
        <v>Добавить территорию для дифференциации</v>
      </c>
      <c r="AS15" s="46">
        <v>0</v>
      </c>
    </row>
    <row r="16" spans="5:45" ht="14.25" hidden="1" customHeight="1">
      <c r="AS16" s="4">
        <v>0</v>
      </c>
    </row>
    <row r="17" spans="1:45" ht="14.25" hidden="1" customHeight="1">
      <c r="AD17" s="205"/>
      <c r="AE17" s="205"/>
      <c r="AF17" s="205"/>
      <c r="AG17" s="451"/>
      <c r="AH17" s="746"/>
      <c r="AI17" s="745" t="s">
        <v>66</v>
      </c>
      <c r="AJ17" s="746"/>
      <c r="AK17" s="745" t="s">
        <v>66</v>
      </c>
      <c r="AS17" s="4">
        <v>0</v>
      </c>
    </row>
    <row r="18" spans="1:45" ht="14.25" hidden="1" customHeight="1">
      <c r="AD18" s="205"/>
      <c r="AE18" s="205"/>
      <c r="AF18" s="205"/>
      <c r="AG18" s="111" t="str">
        <f>AH17&amp;"-"&amp;AJ17</f>
        <v>-</v>
      </c>
      <c r="AH18" s="745"/>
      <c r="AI18" s="745"/>
      <c r="AJ18" s="745"/>
      <c r="AK18" s="745"/>
      <c r="AS18" s="4">
        <v>0</v>
      </c>
    </row>
    <row r="19" spans="1:45" ht="14.25" hidden="1" customHeight="1">
      <c r="AS19" s="4">
        <v>0</v>
      </c>
    </row>
    <row r="20" spans="1:45" s="43" customFormat="1" ht="22.5" hidden="1" customHeight="1">
      <c r="M20" s="167"/>
      <c r="N20" s="167"/>
      <c r="O20" s="261" t="s">
        <v>420</v>
      </c>
      <c r="P20" s="167"/>
      <c r="Q20" s="452"/>
      <c r="R20" s="452"/>
      <c r="Z20" s="261"/>
      <c r="AB20" s="261"/>
      <c r="AH20" s="261"/>
      <c r="AJ20" s="261"/>
      <c r="AN20" s="46"/>
      <c r="AO20" s="46"/>
      <c r="AP20" s="46"/>
      <c r="AQ20" s="46"/>
      <c r="AR20" s="46"/>
      <c r="AS20" s="43">
        <v>0</v>
      </c>
    </row>
    <row r="21" spans="1:45" s="43" customFormat="1" ht="14.25" hidden="1" customHeight="1">
      <c r="M21" s="167"/>
      <c r="N21" s="167"/>
      <c r="O21" s="167"/>
      <c r="P21" s="167"/>
      <c r="Q21" s="452"/>
      <c r="R21" s="452"/>
      <c r="AN21" s="46"/>
      <c r="AO21" s="46"/>
      <c r="AP21" s="46"/>
      <c r="AQ21" s="46"/>
      <c r="AR21" s="46"/>
      <c r="AS21" s="43">
        <v>0</v>
      </c>
    </row>
    <row r="22" spans="1:45" s="43" customFormat="1" ht="14.25" hidden="1" customHeight="1">
      <c r="M22" s="167"/>
      <c r="N22" s="167"/>
      <c r="O22" s="43" t="s">
        <v>421</v>
      </c>
      <c r="P22" s="167"/>
      <c r="Q22" s="452"/>
      <c r="R22" s="452"/>
      <c r="T22" s="43" t="s">
        <v>422</v>
      </c>
      <c r="AA22" s="43" t="s">
        <v>423</v>
      </c>
      <c r="AC22" s="43" t="s">
        <v>424</v>
      </c>
      <c r="AD22" s="43" t="s">
        <v>422</v>
      </c>
      <c r="AI22" s="43" t="s">
        <v>425</v>
      </c>
      <c r="AK22" s="43" t="s">
        <v>424</v>
      </c>
      <c r="AN22" s="46"/>
      <c r="AO22" s="46"/>
      <c r="AP22" s="46"/>
      <c r="AQ22" s="46"/>
      <c r="AR22" s="46"/>
      <c r="AS22" s="43">
        <v>0</v>
      </c>
    </row>
    <row r="23" spans="1:45" ht="14.25" hidden="1" customHeight="1">
      <c r="O23" s="43"/>
      <c r="AS23" s="4">
        <v>0</v>
      </c>
    </row>
    <row r="24" spans="1:45" ht="14.25" hidden="1" customHeight="1">
      <c r="O24" s="43"/>
      <c r="AS24" s="4">
        <v>0</v>
      </c>
    </row>
    <row r="25" spans="1:45" ht="14.65" customHeight="1">
      <c r="Q25" s="19"/>
      <c r="R25" s="19"/>
      <c r="S25" s="6"/>
      <c r="T25" s="6"/>
      <c r="U25" s="6"/>
      <c r="AS25" s="4">
        <v>14</v>
      </c>
    </row>
    <row r="26" spans="1:45" ht="14.65" customHeight="1">
      <c r="Q26" s="19"/>
      <c r="R26" s="19"/>
      <c r="S26" s="697"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697"/>
      <c r="U26" s="697"/>
      <c r="V26" s="697"/>
      <c r="W26" s="697"/>
      <c r="X26" s="697"/>
      <c r="Y26" s="697"/>
      <c r="Z26" s="697"/>
      <c r="AA26" s="697"/>
      <c r="AB26" s="697"/>
      <c r="AC26" s="697"/>
      <c r="AD26" s="697"/>
      <c r="AE26" s="697"/>
      <c r="AF26" s="697"/>
      <c r="AG26" s="697"/>
      <c r="AH26" s="697"/>
      <c r="AI26" s="697"/>
      <c r="AJ26" s="697"/>
      <c r="AK26" s="40"/>
      <c r="AS26" s="4">
        <v>14</v>
      </c>
    </row>
    <row r="27" spans="1:45" ht="14.65" customHeight="1">
      <c r="Q27" s="19"/>
      <c r="R27" s="19"/>
      <c r="S27" s="712" t="str">
        <f>IF(org=0,"Не определено",org)</f>
        <v>ООО "Восточная Тепловая компания"</v>
      </c>
      <c r="T27" s="712"/>
      <c r="U27" s="712"/>
      <c r="V27" s="712"/>
      <c r="W27" s="712"/>
      <c r="X27" s="712"/>
      <c r="Y27" s="712"/>
      <c r="Z27" s="712"/>
      <c r="AA27" s="712"/>
      <c r="AB27" s="712"/>
      <c r="AC27" s="712"/>
      <c r="AD27" s="712"/>
      <c r="AE27" s="712"/>
      <c r="AF27" s="712"/>
      <c r="AG27" s="712"/>
      <c r="AH27" s="712"/>
      <c r="AI27" s="712"/>
      <c r="AJ27" s="712"/>
      <c r="AK27" s="40"/>
      <c r="AS27" s="4">
        <v>14</v>
      </c>
    </row>
    <row r="28" spans="1:45" ht="14.25" hidden="1" customHeight="1">
      <c r="Q28" s="19"/>
      <c r="R28" s="19"/>
      <c r="S28" s="6"/>
      <c r="T28" s="6"/>
      <c r="U28" s="6"/>
      <c r="V28" s="109"/>
      <c r="W28" s="109"/>
      <c r="X28" s="109"/>
      <c r="Y28" s="109"/>
      <c r="Z28" s="109"/>
      <c r="AA28" s="109"/>
      <c r="AB28" s="109"/>
      <c r="AC28" s="109"/>
      <c r="AD28" s="109"/>
      <c r="AE28" s="109"/>
      <c r="AF28" s="109"/>
      <c r="AG28" s="109"/>
      <c r="AH28" s="109"/>
      <c r="AI28" s="109"/>
      <c r="AJ28" s="109"/>
      <c r="AK28" s="109"/>
      <c r="AS28" s="4">
        <v>0</v>
      </c>
    </row>
    <row r="29" spans="1:45" s="22" customFormat="1" ht="25.5" hidden="1" customHeight="1">
      <c r="A29" s="43"/>
      <c r="B29" s="43"/>
      <c r="C29" s="43"/>
      <c r="D29" s="43"/>
      <c r="E29" s="43"/>
      <c r="F29" s="43"/>
      <c r="G29" s="43"/>
      <c r="H29" s="43"/>
      <c r="I29" s="43"/>
      <c r="J29" s="43"/>
      <c r="K29" s="43"/>
      <c r="L29" s="43"/>
      <c r="M29" s="43"/>
      <c r="N29" s="43"/>
      <c r="O29" s="43"/>
      <c r="S29" s="721" t="s">
        <v>42</v>
      </c>
      <c r="T29" s="721"/>
      <c r="U29" s="453"/>
      <c r="V29" s="741" t="str">
        <f>IF(TITLE_NAME_OR_PR_CHANGE="",IF(TITLE_NAME_OR_PR="","",TITLE_NAME_OR_PR),TITLE_NAME_OR_PR_CHANGE)</f>
        <v/>
      </c>
      <c r="W29" s="741"/>
      <c r="X29" s="741"/>
      <c r="Y29" s="741"/>
      <c r="Z29" s="741"/>
      <c r="AA29" s="741"/>
      <c r="AB29" s="741"/>
      <c r="AC29" s="4"/>
      <c r="AD29" s="741" t="str">
        <f>IF(TITLE_NAME_OR_PR_CHANGE="",IF(TITLE_NAME_OR_PR="","",TITLE_NAME_OR_PR),TITLE_NAME_OR_PR_CHANGE)</f>
        <v/>
      </c>
      <c r="AE29" s="741"/>
      <c r="AF29" s="741"/>
      <c r="AG29" s="741"/>
      <c r="AH29" s="741"/>
      <c r="AI29" s="741"/>
      <c r="AJ29" s="741"/>
      <c r="AK29" s="4"/>
      <c r="AL29" s="4"/>
      <c r="AM29" s="96"/>
      <c r="AN29" s="46"/>
      <c r="AO29" s="46"/>
      <c r="AP29" s="46"/>
      <c r="AQ29" s="46"/>
      <c r="AR29" s="46"/>
      <c r="AS29" s="22">
        <v>0</v>
      </c>
    </row>
    <row r="30" spans="1:45" s="22" customFormat="1" ht="18.75" hidden="1" customHeight="1">
      <c r="A30" s="43"/>
      <c r="B30" s="43"/>
      <c r="C30" s="43"/>
      <c r="D30" s="43"/>
      <c r="E30" s="43"/>
      <c r="F30" s="43"/>
      <c r="G30" s="43"/>
      <c r="H30" s="43"/>
      <c r="I30" s="43"/>
      <c r="J30" s="43"/>
      <c r="K30" s="43"/>
      <c r="L30" s="43"/>
      <c r="M30" s="43"/>
      <c r="N30" s="43"/>
      <c r="O30" s="43"/>
      <c r="S30" s="721" t="s">
        <v>426</v>
      </c>
      <c r="T30" s="721"/>
      <c r="U30" s="453"/>
      <c r="V30" s="740" t="str">
        <f>IF(TITLE_DATE_PR_CHANGE="",IF(TITLE_DATE_PR="","",TITLE_DATE_PR),TITLE_DATE_PR_CHANGE)</f>
        <v/>
      </c>
      <c r="W30" s="740"/>
      <c r="X30" s="740"/>
      <c r="Y30" s="740"/>
      <c r="Z30" s="740"/>
      <c r="AA30" s="740"/>
      <c r="AB30" s="740"/>
      <c r="AC30" s="4"/>
      <c r="AD30" s="740" t="str">
        <f>IF(TITLE_DATE_PR_CHANGE="",IF(TITLE_DATE_PR="","",TITLE_DATE_PR),TITLE_DATE_PR_CHANGE)</f>
        <v/>
      </c>
      <c r="AE30" s="740"/>
      <c r="AF30" s="740"/>
      <c r="AG30" s="740"/>
      <c r="AH30" s="740"/>
      <c r="AI30" s="740"/>
      <c r="AJ30" s="740"/>
      <c r="AK30" s="4"/>
      <c r="AL30" s="4"/>
      <c r="AM30" s="96"/>
      <c r="AN30" s="46"/>
      <c r="AO30" s="46"/>
      <c r="AP30" s="46"/>
      <c r="AQ30" s="46"/>
      <c r="AR30" s="46"/>
      <c r="AS30" s="22">
        <v>0</v>
      </c>
    </row>
    <row r="31" spans="1:45" s="22" customFormat="1" ht="18.75" hidden="1" customHeight="1">
      <c r="A31" s="43"/>
      <c r="B31" s="43"/>
      <c r="C31" s="43"/>
      <c r="D31" s="43"/>
      <c r="E31" s="43"/>
      <c r="F31" s="43"/>
      <c r="G31" s="43"/>
      <c r="H31" s="43"/>
      <c r="I31" s="43"/>
      <c r="J31" s="43"/>
      <c r="K31" s="43"/>
      <c r="L31" s="43"/>
      <c r="M31" s="43"/>
      <c r="N31" s="43"/>
      <c r="O31" s="43"/>
      <c r="S31" s="721" t="s">
        <v>427</v>
      </c>
      <c r="T31" s="721"/>
      <c r="U31" s="453"/>
      <c r="V31" s="741" t="str">
        <f>IF(TITLE_NUMBER_PR_CHANGE="",IF(TITLE_NUMBER_PR="","",TITLE_NUMBER_PR),TITLE_NUMBER_PR_CHANGE)</f>
        <v/>
      </c>
      <c r="W31" s="741"/>
      <c r="X31" s="741"/>
      <c r="Y31" s="741"/>
      <c r="Z31" s="741"/>
      <c r="AA31" s="741"/>
      <c r="AB31" s="741"/>
      <c r="AC31" s="4"/>
      <c r="AD31" s="741" t="str">
        <f>IF(TITLE_NUMBER_PR_CHANGE="",IF(TITLE_NUMBER_PR="","",TITLE_NUMBER_PR),TITLE_NUMBER_PR_CHANGE)</f>
        <v/>
      </c>
      <c r="AE31" s="741"/>
      <c r="AF31" s="741"/>
      <c r="AG31" s="741"/>
      <c r="AH31" s="741"/>
      <c r="AI31" s="741"/>
      <c r="AJ31" s="741"/>
      <c r="AK31" s="4"/>
      <c r="AL31" s="4"/>
      <c r="AM31" s="96"/>
      <c r="AN31" s="46"/>
      <c r="AO31" s="46"/>
      <c r="AP31" s="46"/>
      <c r="AQ31" s="46"/>
      <c r="AR31" s="46"/>
      <c r="AS31" s="22">
        <v>0</v>
      </c>
    </row>
    <row r="32" spans="1:45" s="22" customFormat="1" ht="18.75" hidden="1" customHeight="1">
      <c r="A32" s="43"/>
      <c r="B32" s="43"/>
      <c r="C32" s="43"/>
      <c r="D32" s="43"/>
      <c r="E32" s="43"/>
      <c r="F32" s="43"/>
      <c r="G32" s="43"/>
      <c r="H32" s="43"/>
      <c r="I32" s="43"/>
      <c r="J32" s="43"/>
      <c r="K32" s="43"/>
      <c r="L32" s="43"/>
      <c r="M32" s="43"/>
      <c r="N32" s="43"/>
      <c r="O32" s="43"/>
      <c r="S32" s="721" t="s">
        <v>43</v>
      </c>
      <c r="T32" s="721"/>
      <c r="U32" s="453"/>
      <c r="V32" s="741" t="str">
        <f>IF(TITLE_IST_PUB_CHANGE="",IF(TITLE_IST_PUB="","",TITLE_IST_PUB),TITLE_IST_PUB_CHANGE)</f>
        <v/>
      </c>
      <c r="W32" s="741"/>
      <c r="X32" s="741"/>
      <c r="Y32" s="741"/>
      <c r="Z32" s="741"/>
      <c r="AA32" s="741"/>
      <c r="AB32" s="741"/>
      <c r="AC32" s="4"/>
      <c r="AD32" s="741" t="str">
        <f>IF(TITLE_IST_PUB_CHANGE="",IF(TITLE_IST_PUB="","",TITLE_IST_PUB),TITLE_IST_PUB_CHANGE)</f>
        <v/>
      </c>
      <c r="AE32" s="741"/>
      <c r="AF32" s="741"/>
      <c r="AG32" s="741"/>
      <c r="AH32" s="741"/>
      <c r="AI32" s="741"/>
      <c r="AJ32" s="741"/>
      <c r="AK32" s="4"/>
      <c r="AL32" s="4"/>
      <c r="AM32" s="96"/>
      <c r="AN32" s="46"/>
      <c r="AO32" s="46"/>
      <c r="AP32" s="46"/>
      <c r="AQ32" s="46"/>
      <c r="AR32" s="46"/>
      <c r="AS32" s="22">
        <v>0</v>
      </c>
    </row>
    <row r="33" spans="1:45" ht="14.25" hidden="1" customHeight="1">
      <c r="Q33" s="19"/>
      <c r="R33" s="19"/>
      <c r="S33" s="6"/>
      <c r="T33" s="6"/>
      <c r="U33" s="6"/>
      <c r="V33" s="109"/>
      <c r="W33" s="109"/>
      <c r="X33" s="109"/>
      <c r="Y33" s="109"/>
      <c r="Z33" s="109"/>
      <c r="AA33" s="109"/>
      <c r="AB33" s="109"/>
      <c r="AC33" s="109"/>
      <c r="AD33" s="109"/>
      <c r="AE33" s="109"/>
      <c r="AF33" s="109"/>
      <c r="AG33" s="109"/>
      <c r="AH33" s="109"/>
      <c r="AI33" s="109"/>
      <c r="AJ33" s="109"/>
      <c r="AK33" s="109"/>
      <c r="AS33" s="4">
        <v>0</v>
      </c>
    </row>
    <row r="34" spans="1:45" s="22" customFormat="1" ht="18.75" hidden="1" customHeight="1">
      <c r="A34" s="43"/>
      <c r="B34" s="43"/>
      <c r="C34" s="43"/>
      <c r="D34" s="43"/>
      <c r="E34" s="43"/>
      <c r="F34" s="43"/>
      <c r="G34" s="43"/>
      <c r="H34" s="43"/>
      <c r="I34" s="43"/>
      <c r="J34" s="43"/>
      <c r="K34" s="43"/>
      <c r="L34" s="43"/>
      <c r="M34" s="43"/>
      <c r="N34" s="43"/>
      <c r="O34" s="43"/>
      <c r="S34" s="721" t="s">
        <v>428</v>
      </c>
      <c r="T34" s="721"/>
      <c r="U34" s="453"/>
      <c r="V34" s="740" t="str">
        <f>IF(TITLE_DATE_PR_CHANGE="",IF(TITLE_DATE_PR="","",TITLE_DATE_PR),TITLE_DATE_PR_CHANGE)</f>
        <v/>
      </c>
      <c r="W34" s="740"/>
      <c r="X34" s="740"/>
      <c r="Y34" s="740"/>
      <c r="Z34" s="740"/>
      <c r="AA34" s="740"/>
      <c r="AB34" s="740"/>
      <c r="AC34" s="4"/>
      <c r="AD34" s="740" t="str">
        <f>IF(TITLE_DATE_PR_CHANGE="",IF(TITLE_DATE_PR="","",TITLE_DATE_PR),TITLE_DATE_PR_CHANGE)</f>
        <v/>
      </c>
      <c r="AE34" s="740"/>
      <c r="AF34" s="740"/>
      <c r="AG34" s="740"/>
      <c r="AH34" s="740"/>
      <c r="AI34" s="740"/>
      <c r="AJ34" s="740"/>
      <c r="AK34" s="4"/>
      <c r="AL34" s="4"/>
      <c r="AM34" s="96"/>
      <c r="AN34" s="46"/>
      <c r="AO34" s="46"/>
      <c r="AP34" s="46"/>
      <c r="AQ34" s="46"/>
      <c r="AR34" s="46"/>
      <c r="AS34" s="22">
        <v>0</v>
      </c>
    </row>
    <row r="35" spans="1:45" s="22" customFormat="1" ht="18.75" hidden="1" customHeight="1">
      <c r="A35" s="43"/>
      <c r="B35" s="43"/>
      <c r="C35" s="43"/>
      <c r="D35" s="43"/>
      <c r="E35" s="43"/>
      <c r="F35" s="43"/>
      <c r="G35" s="43"/>
      <c r="H35" s="43"/>
      <c r="I35" s="43"/>
      <c r="J35" s="43"/>
      <c r="K35" s="43"/>
      <c r="L35" s="43"/>
      <c r="M35" s="43"/>
      <c r="N35" s="43"/>
      <c r="O35" s="43"/>
      <c r="S35" s="721" t="s">
        <v>429</v>
      </c>
      <c r="T35" s="721"/>
      <c r="U35" s="453"/>
      <c r="V35" s="741" t="str">
        <f>IF(TITLE_NUMBER_PR_CHANGE="",IF(TITLE_NUMBER_PR="","",TITLE_NUMBER_PR),TITLE_NUMBER_PR_CHANGE)</f>
        <v/>
      </c>
      <c r="W35" s="741"/>
      <c r="X35" s="741"/>
      <c r="Y35" s="741"/>
      <c r="Z35" s="741"/>
      <c r="AA35" s="741"/>
      <c r="AB35" s="741"/>
      <c r="AC35" s="4"/>
      <c r="AD35" s="741" t="str">
        <f>IF(TITLE_NUMBER_PR_CHANGE="",IF(TITLE_NUMBER_PR="","",TITLE_NUMBER_PR),TITLE_NUMBER_PR_CHANGE)</f>
        <v/>
      </c>
      <c r="AE35" s="741"/>
      <c r="AF35" s="741"/>
      <c r="AG35" s="741"/>
      <c r="AH35" s="741"/>
      <c r="AI35" s="741"/>
      <c r="AJ35" s="741"/>
      <c r="AK35" s="4"/>
      <c r="AL35" s="4"/>
      <c r="AM35" s="96"/>
      <c r="AN35" s="46"/>
      <c r="AO35" s="46"/>
      <c r="AP35" s="46"/>
      <c r="AQ35" s="46"/>
      <c r="AR35" s="46"/>
      <c r="AS35" s="22">
        <v>0</v>
      </c>
    </row>
    <row r="36" spans="1:45" s="22" customFormat="1" ht="0" hidden="1" customHeight="1">
      <c r="A36" s="43"/>
      <c r="B36" s="43"/>
      <c r="C36" s="43"/>
      <c r="D36" s="43"/>
      <c r="E36" s="43"/>
      <c r="F36" s="43"/>
      <c r="G36" s="43"/>
      <c r="H36" s="43"/>
      <c r="I36" s="43"/>
      <c r="J36" s="43"/>
      <c r="K36" s="43"/>
      <c r="L36" s="43"/>
      <c r="M36" s="43"/>
      <c r="N36" s="43"/>
      <c r="O36" s="43"/>
      <c r="S36" s="4"/>
      <c r="T36" s="4"/>
      <c r="U36" s="4"/>
      <c r="V36" s="4"/>
      <c r="W36" s="4"/>
      <c r="X36" s="4"/>
      <c r="Y36" s="4"/>
      <c r="Z36" s="4"/>
      <c r="AA36" s="4"/>
      <c r="AB36" s="4"/>
      <c r="AC36" s="46" t="s">
        <v>430</v>
      </c>
      <c r="AD36" s="4"/>
      <c r="AE36" s="4"/>
      <c r="AF36" s="4"/>
      <c r="AG36" s="4"/>
      <c r="AH36" s="4"/>
      <c r="AI36" s="4"/>
      <c r="AJ36" s="4"/>
      <c r="AK36" s="46" t="s">
        <v>430</v>
      </c>
      <c r="AN36" s="46"/>
      <c r="AO36" s="46"/>
      <c r="AP36" s="46"/>
      <c r="AQ36" s="46"/>
      <c r="AR36" s="46"/>
      <c r="AS36" s="22">
        <v>0</v>
      </c>
    </row>
    <row r="37" spans="1:45" ht="14.65" customHeight="1">
      <c r="Q37" s="19"/>
      <c r="R37" s="19"/>
      <c r="S37" s="6"/>
      <c r="T37" s="6"/>
      <c r="U37" s="420"/>
      <c r="V37" s="755"/>
      <c r="W37" s="755"/>
      <c r="X37" s="755"/>
      <c r="Y37" s="755"/>
      <c r="Z37" s="755"/>
      <c r="AA37" s="755"/>
      <c r="AB37" s="755"/>
      <c r="AC37" s="755"/>
      <c r="AD37" s="755"/>
      <c r="AE37" s="755"/>
      <c r="AF37" s="755"/>
      <c r="AG37" s="755"/>
      <c r="AH37" s="755"/>
      <c r="AI37" s="755"/>
      <c r="AJ37" s="755"/>
      <c r="AK37" s="755"/>
      <c r="AS37" s="4">
        <v>14</v>
      </c>
    </row>
    <row r="38" spans="1:45" ht="14.65" customHeight="1">
      <c r="Q38" s="19"/>
      <c r="R38" s="19"/>
      <c r="S38" s="679" t="s">
        <v>303</v>
      </c>
      <c r="T38" s="679"/>
      <c r="U38" s="679"/>
      <c r="V38" s="679"/>
      <c r="W38" s="679"/>
      <c r="X38" s="679"/>
      <c r="Y38" s="679"/>
      <c r="Z38" s="679"/>
      <c r="AA38" s="679"/>
      <c r="AB38" s="679"/>
      <c r="AC38" s="679"/>
      <c r="AD38" s="679"/>
      <c r="AE38" s="679"/>
      <c r="AF38" s="679"/>
      <c r="AG38" s="679"/>
      <c r="AH38" s="679"/>
      <c r="AI38" s="679"/>
      <c r="AJ38" s="679"/>
      <c r="AK38" s="679"/>
      <c r="AL38" s="679"/>
      <c r="AM38" s="679" t="s">
        <v>304</v>
      </c>
      <c r="AS38" s="4">
        <v>14</v>
      </c>
    </row>
    <row r="39" spans="1:45" ht="14.65" customHeight="1">
      <c r="Q39" s="19"/>
      <c r="R39" s="19"/>
      <c r="S39" s="722" t="s">
        <v>88</v>
      </c>
      <c r="T39" s="722" t="s">
        <v>431</v>
      </c>
      <c r="U39" s="100"/>
      <c r="V39" s="756" t="s">
        <v>432</v>
      </c>
      <c r="W39" s="757"/>
      <c r="X39" s="757"/>
      <c r="Y39" s="757"/>
      <c r="Z39" s="757"/>
      <c r="AA39" s="757"/>
      <c r="AB39" s="758"/>
      <c r="AC39" s="724" t="s">
        <v>433</v>
      </c>
      <c r="AD39" s="756" t="s">
        <v>432</v>
      </c>
      <c r="AE39" s="757"/>
      <c r="AF39" s="757"/>
      <c r="AG39" s="757"/>
      <c r="AH39" s="757"/>
      <c r="AI39" s="757"/>
      <c r="AJ39" s="758"/>
      <c r="AK39" s="724" t="s">
        <v>434</v>
      </c>
      <c r="AL39" s="759" t="s">
        <v>435</v>
      </c>
      <c r="AM39" s="679"/>
      <c r="AS39" s="4">
        <v>14</v>
      </c>
    </row>
    <row r="40" spans="1:45" ht="35.65" customHeight="1">
      <c r="Q40" s="19"/>
      <c r="R40" s="19"/>
      <c r="S40" s="722"/>
      <c r="T40" s="722"/>
      <c r="U40" s="349"/>
      <c r="V40" s="673" t="s">
        <v>436</v>
      </c>
      <c r="W40" s="752" t="s">
        <v>437</v>
      </c>
      <c r="X40" s="662" t="s">
        <v>438</v>
      </c>
      <c r="Y40" s="661"/>
      <c r="Z40" s="662" t="s">
        <v>452</v>
      </c>
      <c r="AA40" s="666"/>
      <c r="AB40" s="661"/>
      <c r="AC40" s="725"/>
      <c r="AD40" s="673" t="s">
        <v>436</v>
      </c>
      <c r="AE40" s="752" t="s">
        <v>437</v>
      </c>
      <c r="AF40" s="662" t="s">
        <v>438</v>
      </c>
      <c r="AG40" s="661"/>
      <c r="AH40" s="662" t="s">
        <v>439</v>
      </c>
      <c r="AI40" s="666"/>
      <c r="AJ40" s="661"/>
      <c r="AK40" s="725"/>
      <c r="AL40" s="760"/>
      <c r="AM40" s="679"/>
      <c r="AS40" s="4">
        <v>34</v>
      </c>
    </row>
    <row r="41" spans="1:45" ht="35.65" customHeight="1">
      <c r="B41" s="43" t="s">
        <v>140</v>
      </c>
      <c r="C41" s="43" t="s">
        <v>141</v>
      </c>
      <c r="D41" s="43" t="s">
        <v>142</v>
      </c>
      <c r="E41" s="43" t="s">
        <v>440</v>
      </c>
      <c r="F41" s="43" t="s">
        <v>441</v>
      </c>
      <c r="G41" s="43" t="s">
        <v>442</v>
      </c>
      <c r="H41" s="43" t="s">
        <v>443</v>
      </c>
      <c r="I41" s="43" t="s">
        <v>444</v>
      </c>
      <c r="J41" s="43" t="s">
        <v>445</v>
      </c>
      <c r="K41" s="43" t="s">
        <v>446</v>
      </c>
      <c r="L41" s="43" t="s">
        <v>421</v>
      </c>
      <c r="Q41" s="19"/>
      <c r="R41" s="19"/>
      <c r="S41" s="722"/>
      <c r="T41" s="722"/>
      <c r="U41" s="101"/>
      <c r="V41" s="676"/>
      <c r="W41" s="753"/>
      <c r="X41" s="27" t="s">
        <v>447</v>
      </c>
      <c r="Y41" s="27" t="s">
        <v>448</v>
      </c>
      <c r="Z41" s="27" t="s">
        <v>449</v>
      </c>
      <c r="AA41" s="728" t="s">
        <v>450</v>
      </c>
      <c r="AB41" s="734"/>
      <c r="AC41" s="726"/>
      <c r="AD41" s="676"/>
      <c r="AE41" s="753"/>
      <c r="AF41" s="27" t="s">
        <v>447</v>
      </c>
      <c r="AG41" s="27" t="s">
        <v>448</v>
      </c>
      <c r="AH41" s="27" t="s">
        <v>449</v>
      </c>
      <c r="AI41" s="728" t="s">
        <v>450</v>
      </c>
      <c r="AJ41" s="734"/>
      <c r="AK41" s="726"/>
      <c r="AL41" s="761"/>
      <c r="AM41" s="679"/>
      <c r="AS41" s="4">
        <v>34</v>
      </c>
    </row>
    <row r="42" spans="1:45" s="117" customFormat="1" ht="11.25" hidden="1" customHeight="1">
      <c r="A42" s="43"/>
      <c r="B42" s="43"/>
      <c r="C42" s="43"/>
      <c r="D42" s="43"/>
      <c r="E42" s="43"/>
      <c r="F42" s="43"/>
      <c r="G42" s="43"/>
      <c r="H42" s="43"/>
      <c r="I42" s="43"/>
      <c r="J42" s="43"/>
      <c r="K42" s="43"/>
      <c r="L42" s="43"/>
      <c r="M42" s="167"/>
      <c r="N42" s="167"/>
      <c r="O42" s="167"/>
      <c r="P42" s="178"/>
      <c r="Q42" s="422"/>
      <c r="R42" s="424">
        <v>1</v>
      </c>
      <c r="S42" s="425" t="s">
        <v>110</v>
      </c>
      <c r="T42" s="425" t="s">
        <v>111</v>
      </c>
      <c r="U42" s="421" t="str">
        <f ca="1">OFFSET(U42,0,-1)</f>
        <v>2</v>
      </c>
      <c r="V42" s="426">
        <f ca="1">OFFSET(V42,0,-1)+1</f>
        <v>3</v>
      </c>
      <c r="W42" s="426"/>
      <c r="X42" s="426">
        <f ca="1">OFFSET(X42,0,-1)+1</f>
        <v>1</v>
      </c>
      <c r="Y42" s="426">
        <f ca="1">OFFSET(Y42,0,-1)+1</f>
        <v>2</v>
      </c>
      <c r="Z42" s="426">
        <f ca="1">OFFSET(Z42,0,-1)+1</f>
        <v>3</v>
      </c>
      <c r="AA42" s="754">
        <f ca="1">OFFSET(AA42,0,-1)+1</f>
        <v>4</v>
      </c>
      <c r="AB42" s="754"/>
      <c r="AC42" s="426">
        <f ca="1">OFFSET(AC42,0,-2)+1</f>
        <v>5</v>
      </c>
      <c r="AD42" s="426">
        <f ca="1">OFFSET(AD42,0,-1)+1</f>
        <v>6</v>
      </c>
      <c r="AE42" s="426"/>
      <c r="AF42" s="426">
        <f ca="1">OFFSET(AF42,0,-1)+1</f>
        <v>1</v>
      </c>
      <c r="AG42" s="426">
        <f ca="1">OFFSET(AG42,0,-1)+1</f>
        <v>2</v>
      </c>
      <c r="AH42" s="426">
        <f ca="1">OFFSET(AH42,0,-1)+1</f>
        <v>3</v>
      </c>
      <c r="AI42" s="754">
        <f ca="1">OFFSET(AI42,0,-1)+1</f>
        <v>4</v>
      </c>
      <c r="AJ42" s="754"/>
      <c r="AK42" s="426">
        <f ca="1">OFFSET(AK42,0,-2)+1</f>
        <v>5</v>
      </c>
      <c r="AL42" s="421">
        <f ca="1">OFFSET(AL42,0,-1)</f>
        <v>5</v>
      </c>
      <c r="AM42" s="426">
        <f ca="1">OFFSET(AM42,0,-1)+1</f>
        <v>6</v>
      </c>
      <c r="AN42" s="46"/>
      <c r="AO42" s="46"/>
      <c r="AP42" s="46"/>
      <c r="AQ42" s="46"/>
      <c r="AR42" s="46"/>
      <c r="AS42" s="117">
        <v>0</v>
      </c>
    </row>
    <row r="43" spans="1:45" ht="21.95" customHeight="1">
      <c r="A43" s="43" t="s">
        <v>166</v>
      </c>
      <c r="E43" s="745">
        <v>1</v>
      </c>
      <c r="M43" s="43"/>
      <c r="N43" s="43"/>
      <c r="O43" s="43"/>
      <c r="Q43" s="4"/>
      <c r="R43" s="119"/>
      <c r="S43" s="24">
        <f>INDEX(PT_DIFFERENTIATION_NUM_NTAR,MATCH(A43,PT_DIFFERENTIATION_NTAR_ID,0))</f>
        <v>0</v>
      </c>
      <c r="T43" s="29" t="s">
        <v>128</v>
      </c>
      <c r="U43" s="29"/>
      <c r="V43" s="742"/>
      <c r="W43" s="743"/>
      <c r="X43" s="743"/>
      <c r="Y43" s="743"/>
      <c r="Z43" s="743"/>
      <c r="AA43" s="743"/>
      <c r="AB43" s="743"/>
      <c r="AC43" s="744"/>
      <c r="AD43" s="742" t="str">
        <f>INDEX(PT_DIFFERENTIATION_NTAR,MATCH(A43,PT_DIFFERENTIATION_NTAR_ID,0))</f>
        <v/>
      </c>
      <c r="AE43" s="743"/>
      <c r="AF43" s="743"/>
      <c r="AG43" s="743"/>
      <c r="AH43" s="743"/>
      <c r="AI43" s="743"/>
      <c r="AJ43" s="743"/>
      <c r="AK43" s="743"/>
      <c r="AL43" s="744"/>
      <c r="AM43" s="42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P43" s="46" t="str">
        <f t="shared" ref="AP43:AP57" si="1">IF(T43="","",T43)</f>
        <v>Наименование тарифа</v>
      </c>
      <c r="AS43" s="4">
        <v>21</v>
      </c>
    </row>
    <row r="44" spans="1:45" ht="21.95" customHeight="1">
      <c r="A44" s="43" t="s">
        <v>166</v>
      </c>
      <c r="B44" s="43" t="s">
        <v>167</v>
      </c>
      <c r="E44" s="747"/>
      <c r="F44" s="745">
        <v>1</v>
      </c>
      <c r="M44" s="43"/>
      <c r="N44" s="43"/>
      <c r="O44" s="43"/>
      <c r="P44" s="4"/>
      <c r="Q44" s="118"/>
      <c r="R44" s="119"/>
      <c r="S44" s="24" t="str">
        <f>INDEX(PT_DIFFERENTIATION_NUM_TER,MATCH(B44,PT_DIFFERENTIATION_TER_ID,0))</f>
        <v>.</v>
      </c>
      <c r="T44" s="24" t="s">
        <v>400</v>
      </c>
      <c r="U44" s="29"/>
      <c r="V44" s="742"/>
      <c r="W44" s="743"/>
      <c r="X44" s="743"/>
      <c r="Y44" s="743"/>
      <c r="Z44" s="743"/>
      <c r="AA44" s="743"/>
      <c r="AB44" s="743"/>
      <c r="AC44" s="744"/>
      <c r="AD44" s="742" t="str">
        <f>INDEX(PT_DIFFERENTIATION_TER,MATCH(B44,PT_DIFFERENTIATION_TER_ID,0))</f>
        <v/>
      </c>
      <c r="AE44" s="743"/>
      <c r="AF44" s="743"/>
      <c r="AG44" s="743"/>
      <c r="AH44" s="743"/>
      <c r="AI44" s="743"/>
      <c r="AJ44" s="743"/>
      <c r="AK44" s="743"/>
      <c r="AL44" s="744"/>
      <c r="AM44" s="428" t="s">
        <v>401</v>
      </c>
      <c r="AP44" s="46" t="str">
        <f t="shared" si="1"/>
        <v>Территория действия тарифа</v>
      </c>
      <c r="AS44" s="4">
        <v>21</v>
      </c>
    </row>
    <row r="45" spans="1:45" ht="24" customHeight="1">
      <c r="A45" s="43" t="s">
        <v>166</v>
      </c>
      <c r="B45" s="43" t="s">
        <v>167</v>
      </c>
      <c r="C45" s="43" t="s">
        <v>168</v>
      </c>
      <c r="E45" s="747"/>
      <c r="F45" s="747"/>
      <c r="G45" s="745">
        <v>1</v>
      </c>
      <c r="M45" s="43"/>
      <c r="N45" s="43"/>
      <c r="O45" s="43"/>
      <c r="P45" s="16"/>
      <c r="Q45" s="118"/>
      <c r="R45" s="119"/>
      <c r="S45" s="24" t="str">
        <f>INDEX(PT_DIFFERENTIATION_NUM_CS,MATCH(C45,PT_DIFFERENTIATION_CS_ID,0))</f>
        <v>..</v>
      </c>
      <c r="T45" s="24" t="s">
        <v>402</v>
      </c>
      <c r="U45" s="29"/>
      <c r="V45" s="742"/>
      <c r="W45" s="743"/>
      <c r="X45" s="743"/>
      <c r="Y45" s="743"/>
      <c r="Z45" s="743"/>
      <c r="AA45" s="743"/>
      <c r="AB45" s="743"/>
      <c r="AC45" s="744"/>
      <c r="AD45" s="742" t="str">
        <f>INDEX(PT_DIFFERENTIATION_CS,MATCH(C45,PT_DIFFERENTIATION_CS_ID,0))</f>
        <v/>
      </c>
      <c r="AE45" s="743"/>
      <c r="AF45" s="743"/>
      <c r="AG45" s="743"/>
      <c r="AH45" s="743"/>
      <c r="AI45" s="743"/>
      <c r="AJ45" s="743"/>
      <c r="AK45" s="743"/>
      <c r="AL45" s="744"/>
      <c r="AM45" s="428" t="s">
        <v>403</v>
      </c>
      <c r="AP45" s="46" t="str">
        <f t="shared" si="1"/>
        <v xml:space="preserve">Наименование системы теплоснабжения </v>
      </c>
      <c r="AS45" s="4">
        <v>23</v>
      </c>
    </row>
    <row r="46" spans="1:45" ht="21.95" customHeight="1">
      <c r="A46" s="43" t="s">
        <v>166</v>
      </c>
      <c r="B46" s="43" t="s">
        <v>167</v>
      </c>
      <c r="C46" s="43" t="s">
        <v>168</v>
      </c>
      <c r="D46" s="43" t="s">
        <v>169</v>
      </c>
      <c r="E46" s="747"/>
      <c r="F46" s="747"/>
      <c r="G46" s="747"/>
      <c r="H46" s="745">
        <v>1</v>
      </c>
      <c r="M46" s="43"/>
      <c r="N46" s="43"/>
      <c r="O46" s="43"/>
      <c r="P46" s="16"/>
      <c r="Q46" s="118"/>
      <c r="R46" s="119"/>
      <c r="S46" s="24" t="str">
        <f>INDEX(PT_DIFFERENTIATION_NUM_IST_TE,MATCH(D46,PT_DIFFERENTIATION_IST_TE_ID,0))</f>
        <v>...</v>
      </c>
      <c r="T46" s="24" t="s">
        <v>404</v>
      </c>
      <c r="U46" s="29"/>
      <c r="V46" s="742"/>
      <c r="W46" s="743"/>
      <c r="X46" s="743"/>
      <c r="Y46" s="743"/>
      <c r="Z46" s="743"/>
      <c r="AA46" s="743"/>
      <c r="AB46" s="743"/>
      <c r="AC46" s="744"/>
      <c r="AD46" s="742" t="str">
        <f>INDEX(PT_DIFFERENTIATION_IST_TE,MATCH(D46,PT_DIFFERENTIATION_IST_TE_ID,0))</f>
        <v/>
      </c>
      <c r="AE46" s="743"/>
      <c r="AF46" s="743"/>
      <c r="AG46" s="743"/>
      <c r="AH46" s="743"/>
      <c r="AI46" s="743"/>
      <c r="AJ46" s="743"/>
      <c r="AK46" s="743"/>
      <c r="AL46" s="744"/>
      <c r="AM46" s="428" t="s">
        <v>405</v>
      </c>
      <c r="AP46" s="46" t="str">
        <f t="shared" si="1"/>
        <v xml:space="preserve">Источник тепловой энергии  </v>
      </c>
      <c r="AS46" s="4">
        <v>21</v>
      </c>
    </row>
    <row r="47" spans="1:45" ht="49.5" customHeight="1">
      <c r="A47" s="43" t="s">
        <v>166</v>
      </c>
      <c r="B47" s="43" t="s">
        <v>167</v>
      </c>
      <c r="C47" s="43" t="s">
        <v>168</v>
      </c>
      <c r="D47" s="43" t="s">
        <v>169</v>
      </c>
      <c r="E47" s="747"/>
      <c r="F47" s="747"/>
      <c r="G47" s="747"/>
      <c r="H47" s="747"/>
      <c r="I47" s="745" t="str">
        <f>S46&amp;".1"</f>
        <v>....1</v>
      </c>
      <c r="L47" s="43" t="s">
        <v>406</v>
      </c>
      <c r="P47" s="748">
        <v>1</v>
      </c>
      <c r="Q47" s="46"/>
      <c r="R47" s="120"/>
      <c r="S47" s="24" t="str">
        <f>$I47</f>
        <v>....1</v>
      </c>
      <c r="T47" s="24" t="s">
        <v>407</v>
      </c>
      <c r="U47" s="29"/>
      <c r="V47" s="737"/>
      <c r="W47" s="738"/>
      <c r="X47" s="738"/>
      <c r="Y47" s="738"/>
      <c r="Z47" s="738"/>
      <c r="AA47" s="738"/>
      <c r="AB47" s="738"/>
      <c r="AC47" s="739"/>
      <c r="AD47" s="737"/>
      <c r="AE47" s="738"/>
      <c r="AF47" s="738"/>
      <c r="AG47" s="738"/>
      <c r="AH47" s="738"/>
      <c r="AI47" s="738"/>
      <c r="AJ47" s="738"/>
      <c r="AK47" s="738"/>
      <c r="AL47" s="739"/>
      <c r="AM47" s="428" t="s">
        <v>408</v>
      </c>
      <c r="AP47" s="46" t="str">
        <f t="shared" si="1"/>
        <v>Схема подключения теплопотребляющей установки к коллектору источника тепловой энергии</v>
      </c>
      <c r="AS47" s="4">
        <v>47</v>
      </c>
    </row>
    <row r="48" spans="1:45" ht="21.95" customHeight="1">
      <c r="A48" s="43" t="s">
        <v>166</v>
      </c>
      <c r="B48" s="43" t="s">
        <v>167</v>
      </c>
      <c r="C48" s="43" t="s">
        <v>168</v>
      </c>
      <c r="D48" s="43" t="s">
        <v>169</v>
      </c>
      <c r="E48" s="747"/>
      <c r="F48" s="747"/>
      <c r="G48" s="747"/>
      <c r="H48" s="747"/>
      <c r="I48" s="747"/>
      <c r="J48" s="745" t="str">
        <f>I47&amp;".1"</f>
        <v>....1.1</v>
      </c>
      <c r="L48" s="43" t="s">
        <v>409</v>
      </c>
      <c r="P48" s="748"/>
      <c r="Q48" s="748">
        <v>1</v>
      </c>
      <c r="R48" s="120"/>
      <c r="S48" s="24" t="str">
        <f>$J48</f>
        <v>....1.1</v>
      </c>
      <c r="T48" s="24" t="s">
        <v>410</v>
      </c>
      <c r="U48" s="29"/>
      <c r="V48" s="737"/>
      <c r="W48" s="738"/>
      <c r="X48" s="738"/>
      <c r="Y48" s="738"/>
      <c r="Z48" s="738"/>
      <c r="AA48" s="738"/>
      <c r="AB48" s="738"/>
      <c r="AC48" s="739"/>
      <c r="AD48" s="737"/>
      <c r="AE48" s="738"/>
      <c r="AF48" s="738"/>
      <c r="AG48" s="738"/>
      <c r="AH48" s="738"/>
      <c r="AI48" s="738"/>
      <c r="AJ48" s="738"/>
      <c r="AK48" s="738"/>
      <c r="AL48" s="739"/>
      <c r="AM48" s="428" t="s">
        <v>411</v>
      </c>
      <c r="AP48" s="46" t="str">
        <f t="shared" si="1"/>
        <v>Группа потребителей</v>
      </c>
      <c r="AS48" s="4">
        <v>21</v>
      </c>
    </row>
    <row r="49" spans="1:45" ht="21.95" customHeight="1">
      <c r="A49" s="43" t="s">
        <v>166</v>
      </c>
      <c r="B49" s="43" t="s">
        <v>167</v>
      </c>
      <c r="C49" s="43" t="s">
        <v>168</v>
      </c>
      <c r="D49" s="43" t="s">
        <v>169</v>
      </c>
      <c r="E49" s="747"/>
      <c r="F49" s="747"/>
      <c r="G49" s="747"/>
      <c r="H49" s="747"/>
      <c r="I49" s="747"/>
      <c r="J49" s="747"/>
      <c r="K49" s="745" t="str">
        <f>J48&amp;".1"</f>
        <v>....1.1.1</v>
      </c>
      <c r="L49" s="43" t="s">
        <v>412</v>
      </c>
      <c r="P49" s="748"/>
      <c r="Q49" s="748"/>
      <c r="R49" s="120">
        <v>1</v>
      </c>
      <c r="S49" s="24" t="str">
        <f>$K49</f>
        <v>....1.1.1</v>
      </c>
      <c r="T49" s="356"/>
      <c r="U49" s="29"/>
      <c r="V49" s="168"/>
      <c r="W49" s="110"/>
      <c r="X49" s="168"/>
      <c r="Y49" s="427"/>
      <c r="Z49" s="749"/>
      <c r="AA49" s="688" t="s">
        <v>66</v>
      </c>
      <c r="AB49" s="749"/>
      <c r="AC49" s="688" t="s">
        <v>66</v>
      </c>
      <c r="AD49" s="168"/>
      <c r="AE49" s="110"/>
      <c r="AF49" s="168"/>
      <c r="AG49" s="427"/>
      <c r="AH49" s="749"/>
      <c r="AI49" s="688" t="s">
        <v>66</v>
      </c>
      <c r="AJ49" s="750"/>
      <c r="AK49" s="688" t="s">
        <v>66</v>
      </c>
      <c r="AL49" s="345"/>
      <c r="AM49" s="762" t="s">
        <v>413</v>
      </c>
      <c r="AN49" s="46" t="e">
        <f ca="1">STRCHECKDATE(V50:AL50)</f>
        <v>#NAME?</v>
      </c>
      <c r="AP49" s="46" t="str">
        <f t="shared" si="1"/>
        <v/>
      </c>
      <c r="AS49" s="4">
        <v>21</v>
      </c>
    </row>
    <row r="50" spans="1:45" ht="1.1499999999999999" customHeight="1">
      <c r="A50" s="43" t="s">
        <v>166</v>
      </c>
      <c r="B50" s="43" t="s">
        <v>167</v>
      </c>
      <c r="C50" s="43" t="s">
        <v>168</v>
      </c>
      <c r="D50" s="43" t="s">
        <v>169</v>
      </c>
      <c r="E50" s="747"/>
      <c r="F50" s="747"/>
      <c r="G50" s="747"/>
      <c r="H50" s="747"/>
      <c r="I50" s="747"/>
      <c r="J50" s="747"/>
      <c r="K50" s="745"/>
      <c r="P50" s="748"/>
      <c r="Q50" s="748"/>
      <c r="R50" s="120"/>
      <c r="S50" s="31"/>
      <c r="T50" s="29"/>
      <c r="U50" s="29"/>
      <c r="V50" s="110"/>
      <c r="W50" s="110"/>
      <c r="X50" s="110"/>
      <c r="Y50" s="111" t="str">
        <f>Z49&amp;"-"&amp;AB49</f>
        <v>-</v>
      </c>
      <c r="Z50" s="707"/>
      <c r="AA50" s="688"/>
      <c r="AB50" s="707"/>
      <c r="AC50" s="688"/>
      <c r="AD50" s="110"/>
      <c r="AE50" s="110"/>
      <c r="AF50" s="110"/>
      <c r="AG50" s="111" t="str">
        <f>AH49&amp;"-"&amp;AJ49</f>
        <v>-</v>
      </c>
      <c r="AH50" s="707"/>
      <c r="AI50" s="688"/>
      <c r="AJ50" s="751"/>
      <c r="AK50" s="688"/>
      <c r="AL50" s="450"/>
      <c r="AM50" s="763"/>
      <c r="AP50" s="46" t="str">
        <f t="shared" si="1"/>
        <v/>
      </c>
      <c r="AS50" s="4">
        <v>1</v>
      </c>
    </row>
    <row r="51" spans="1:45" ht="11.45" customHeight="1">
      <c r="A51" s="43" t="s">
        <v>166</v>
      </c>
      <c r="B51" s="43" t="s">
        <v>167</v>
      </c>
      <c r="C51" s="43" t="s">
        <v>168</v>
      </c>
      <c r="D51" s="43" t="s">
        <v>169</v>
      </c>
      <c r="E51" s="747"/>
      <c r="F51" s="747"/>
      <c r="G51" s="747"/>
      <c r="H51" s="747"/>
      <c r="I51" s="747"/>
      <c r="J51" s="745"/>
      <c r="P51" s="748"/>
      <c r="Q51" s="748"/>
      <c r="R51" s="120"/>
      <c r="S51" s="434"/>
      <c r="T51" s="37" t="s">
        <v>414</v>
      </c>
      <c r="U51" s="58"/>
      <c r="V51" s="58"/>
      <c r="W51" s="58"/>
      <c r="X51" s="58"/>
      <c r="Y51" s="58"/>
      <c r="Z51" s="58"/>
      <c r="AA51" s="58"/>
      <c r="AB51" s="58"/>
      <c r="AC51" s="58"/>
      <c r="AD51" s="58"/>
      <c r="AE51" s="58"/>
      <c r="AF51" s="58"/>
      <c r="AG51" s="58"/>
      <c r="AH51" s="58"/>
      <c r="AI51" s="58"/>
      <c r="AJ51" s="58"/>
      <c r="AK51" s="58"/>
      <c r="AL51" s="59"/>
      <c r="AM51" s="764"/>
      <c r="AP51" s="46" t="str">
        <f t="shared" si="1"/>
        <v>Добавить вид теплоносителя (параметры теплоносителя)</v>
      </c>
      <c r="AS51" s="4">
        <v>11</v>
      </c>
    </row>
    <row r="52" spans="1:45" ht="11.45" customHeight="1">
      <c r="A52" s="43" t="s">
        <v>166</v>
      </c>
      <c r="B52" s="43" t="s">
        <v>167</v>
      </c>
      <c r="C52" s="43" t="s">
        <v>168</v>
      </c>
      <c r="D52" s="43" t="s">
        <v>169</v>
      </c>
      <c r="E52" s="747"/>
      <c r="F52" s="747"/>
      <c r="G52" s="747"/>
      <c r="H52" s="747"/>
      <c r="I52" s="745"/>
      <c r="P52" s="748"/>
      <c r="Q52" s="46"/>
      <c r="R52" s="120"/>
      <c r="S52" s="434"/>
      <c r="T52" s="37" t="s">
        <v>415</v>
      </c>
      <c r="U52" s="58"/>
      <c r="V52" s="58"/>
      <c r="W52" s="58"/>
      <c r="X52" s="58"/>
      <c r="Y52" s="58"/>
      <c r="Z52" s="58"/>
      <c r="AA52" s="58"/>
      <c r="AB52" s="58"/>
      <c r="AC52" s="54"/>
      <c r="AD52" s="58"/>
      <c r="AE52" s="58"/>
      <c r="AF52" s="58"/>
      <c r="AG52" s="58"/>
      <c r="AH52" s="58"/>
      <c r="AI52" s="58"/>
      <c r="AJ52" s="58"/>
      <c r="AK52" s="54"/>
      <c r="AL52" s="58"/>
      <c r="AM52" s="102"/>
      <c r="AP52" s="46" t="str">
        <f t="shared" si="1"/>
        <v>Добавить группу потребителей</v>
      </c>
      <c r="AS52" s="4">
        <v>11</v>
      </c>
    </row>
    <row r="53" spans="1:45" ht="14.65" customHeight="1">
      <c r="A53" s="43" t="s">
        <v>166</v>
      </c>
      <c r="B53" s="43" t="s">
        <v>167</v>
      </c>
      <c r="C53" s="43" t="s">
        <v>168</v>
      </c>
      <c r="D53" s="43" t="s">
        <v>169</v>
      </c>
      <c r="E53" s="747"/>
      <c r="F53" s="747"/>
      <c r="G53" s="747"/>
      <c r="H53" s="745"/>
      <c r="M53" s="43"/>
      <c r="N53" s="43"/>
      <c r="O53" s="43"/>
      <c r="P53" s="4"/>
      <c r="R53" s="119"/>
      <c r="S53" s="434"/>
      <c r="T53" s="37" t="s">
        <v>416</v>
      </c>
      <c r="U53" s="58"/>
      <c r="V53" s="58"/>
      <c r="W53" s="58"/>
      <c r="X53" s="58"/>
      <c r="Y53" s="58"/>
      <c r="Z53" s="58"/>
      <c r="AA53" s="58"/>
      <c r="AB53" s="58"/>
      <c r="AC53" s="54"/>
      <c r="AD53" s="58"/>
      <c r="AE53" s="58"/>
      <c r="AF53" s="58"/>
      <c r="AG53" s="58"/>
      <c r="AH53" s="58"/>
      <c r="AI53" s="58"/>
      <c r="AJ53" s="58"/>
      <c r="AK53" s="54"/>
      <c r="AL53" s="58"/>
      <c r="AM53" s="102"/>
      <c r="AP53" s="46" t="str">
        <f t="shared" si="1"/>
        <v>Добавить схему подключения</v>
      </c>
      <c r="AS53" s="4">
        <v>14</v>
      </c>
    </row>
    <row r="54" spans="1:45" s="46" customFormat="1" ht="1.1499999999999999" customHeight="1">
      <c r="A54" s="46" t="s">
        <v>166</v>
      </c>
      <c r="B54" s="46" t="s">
        <v>167</v>
      </c>
      <c r="C54" s="46" t="s">
        <v>168</v>
      </c>
      <c r="E54" s="747"/>
      <c r="F54" s="747"/>
      <c r="G54" s="745"/>
      <c r="Q54" s="446"/>
      <c r="S54" s="449"/>
      <c r="T54" s="160" t="s">
        <v>417</v>
      </c>
      <c r="U54" s="160"/>
      <c r="V54" s="160"/>
      <c r="W54" s="160"/>
      <c r="X54" s="160"/>
      <c r="Y54" s="160"/>
      <c r="Z54" s="160"/>
      <c r="AA54" s="160"/>
      <c r="AB54" s="160"/>
      <c r="AC54" s="160"/>
      <c r="AD54" s="160"/>
      <c r="AE54" s="160"/>
      <c r="AF54" s="160"/>
      <c r="AG54" s="160"/>
      <c r="AH54" s="160"/>
      <c r="AI54" s="160"/>
      <c r="AJ54" s="160"/>
      <c r="AK54" s="160"/>
      <c r="AL54" s="160"/>
      <c r="AM54" s="160"/>
      <c r="AP54" s="46" t="str">
        <f t="shared" si="1"/>
        <v>Добавить источник для дифференциации</v>
      </c>
      <c r="AS54" s="46">
        <v>1</v>
      </c>
    </row>
    <row r="55" spans="1:45" s="46" customFormat="1" ht="1.1499999999999999" customHeight="1">
      <c r="A55" s="46" t="s">
        <v>166</v>
      </c>
      <c r="B55" s="46" t="s">
        <v>167</v>
      </c>
      <c r="E55" s="747"/>
      <c r="F55" s="745"/>
      <c r="M55" s="160"/>
      <c r="N55" s="160"/>
      <c r="Q55" s="446"/>
      <c r="S55" s="449"/>
      <c r="T55" s="160" t="s">
        <v>418</v>
      </c>
      <c r="U55" s="160"/>
      <c r="V55" s="160"/>
      <c r="W55" s="160"/>
      <c r="X55" s="160"/>
      <c r="Y55" s="160"/>
      <c r="Z55" s="160"/>
      <c r="AA55" s="160"/>
      <c r="AB55" s="160"/>
      <c r="AC55" s="160"/>
      <c r="AD55" s="160"/>
      <c r="AE55" s="160"/>
      <c r="AF55" s="160"/>
      <c r="AG55" s="160"/>
      <c r="AH55" s="160"/>
      <c r="AI55" s="160"/>
      <c r="AJ55" s="160"/>
      <c r="AK55" s="160"/>
      <c r="AL55" s="160"/>
      <c r="AM55" s="160"/>
      <c r="AP55" s="46" t="str">
        <f t="shared" si="1"/>
        <v>Добавить централизованную систему для дифференциации</v>
      </c>
      <c r="AS55" s="46">
        <v>1</v>
      </c>
    </row>
    <row r="56" spans="1:45" s="46" customFormat="1" ht="1.1499999999999999" customHeight="1">
      <c r="A56" s="46" t="s">
        <v>166</v>
      </c>
      <c r="E56" s="745"/>
      <c r="M56" s="160"/>
      <c r="N56" s="160"/>
      <c r="Q56" s="446"/>
      <c r="S56" s="449"/>
      <c r="T56" s="160" t="s">
        <v>419</v>
      </c>
      <c r="U56" s="160"/>
      <c r="V56" s="160"/>
      <c r="W56" s="160"/>
      <c r="X56" s="160"/>
      <c r="Y56" s="160"/>
      <c r="Z56" s="160"/>
      <c r="AA56" s="160"/>
      <c r="AB56" s="160"/>
      <c r="AC56" s="160"/>
      <c r="AD56" s="160"/>
      <c r="AE56" s="160"/>
      <c r="AF56" s="160"/>
      <c r="AG56" s="160"/>
      <c r="AH56" s="160"/>
      <c r="AI56" s="160"/>
      <c r="AJ56" s="160"/>
      <c r="AK56" s="160"/>
      <c r="AL56" s="160"/>
      <c r="AM56" s="160"/>
      <c r="AP56" s="46" t="str">
        <f t="shared" si="1"/>
        <v>Добавить территорию для дифференциации</v>
      </c>
      <c r="AS56" s="46">
        <v>1</v>
      </c>
    </row>
    <row r="57" spans="1:45" s="46" customFormat="1" ht="1.1499999999999999" customHeight="1">
      <c r="M57" s="160"/>
      <c r="N57" s="160"/>
      <c r="Q57" s="446"/>
      <c r="S57" s="449"/>
      <c r="T57" s="160" t="s">
        <v>451</v>
      </c>
      <c r="U57" s="160"/>
      <c r="V57" s="160"/>
      <c r="W57" s="160"/>
      <c r="X57" s="160"/>
      <c r="Y57" s="160"/>
      <c r="Z57" s="160"/>
      <c r="AA57" s="160"/>
      <c r="AB57" s="160"/>
      <c r="AC57" s="160"/>
      <c r="AD57" s="160"/>
      <c r="AE57" s="160"/>
      <c r="AF57" s="160"/>
      <c r="AG57" s="160"/>
      <c r="AH57" s="160"/>
      <c r="AI57" s="160"/>
      <c r="AJ57" s="160"/>
      <c r="AK57" s="160"/>
      <c r="AL57" s="160"/>
      <c r="AM57" s="160"/>
      <c r="AP57" s="46" t="str">
        <f t="shared" si="1"/>
        <v>Добавить наименование тарифа</v>
      </c>
      <c r="AS57" s="46">
        <v>1</v>
      </c>
    </row>
    <row r="58" spans="1:45" ht="11.45" customHeight="1">
      <c r="M58" s="43"/>
      <c r="N58" s="43"/>
      <c r="O58" s="43"/>
      <c r="P58" s="4"/>
      <c r="Q58" s="4"/>
      <c r="R58" s="4"/>
      <c r="AN58" s="4"/>
      <c r="AO58" s="4"/>
      <c r="AP58" s="4"/>
      <c r="AQ58" s="4"/>
      <c r="AR58" s="4"/>
      <c r="AS58" s="4">
        <v>11</v>
      </c>
    </row>
    <row r="59" spans="1:45" ht="28.5" customHeight="1">
      <c r="O59" s="43"/>
      <c r="T59" s="665"/>
      <c r="U59" s="665"/>
      <c r="V59" s="665"/>
      <c r="W59" s="665"/>
      <c r="X59" s="665"/>
      <c r="Y59" s="665"/>
      <c r="Z59" s="665"/>
      <c r="AA59" s="665"/>
      <c r="AB59" s="665"/>
      <c r="AC59" s="665"/>
      <c r="AD59" s="665"/>
      <c r="AE59" s="665"/>
      <c r="AF59" s="665"/>
      <c r="AG59" s="665"/>
      <c r="AH59" s="665"/>
      <c r="AI59" s="665"/>
      <c r="AJ59" s="665"/>
      <c r="AK59" s="665"/>
      <c r="AL59" s="665"/>
      <c r="AM59" s="665"/>
      <c r="AS59" s="4">
        <v>27</v>
      </c>
    </row>
    <row r="60" spans="1:45" ht="65.25" customHeight="1">
      <c r="O60" s="43"/>
      <c r="T60" s="665"/>
      <c r="U60" s="665"/>
      <c r="V60" s="665"/>
      <c r="W60" s="665"/>
      <c r="X60" s="665"/>
      <c r="Y60" s="665"/>
      <c r="Z60" s="665"/>
      <c r="AA60" s="665"/>
      <c r="AB60" s="665"/>
      <c r="AC60" s="665"/>
      <c r="AD60" s="665"/>
      <c r="AE60" s="665"/>
      <c r="AF60" s="665"/>
      <c r="AG60" s="665"/>
      <c r="AH60" s="665"/>
      <c r="AI60" s="665"/>
      <c r="AJ60" s="665"/>
      <c r="AK60" s="665"/>
      <c r="AL60" s="665"/>
      <c r="AM60" s="665"/>
      <c r="AS60" s="4">
        <v>62</v>
      </c>
    </row>
    <row r="61" spans="1:45" ht="14.65" customHeight="1">
      <c r="O61" s="43"/>
      <c r="AS61" s="4">
        <v>14</v>
      </c>
    </row>
    <row r="62" spans="1:45" ht="18.75" customHeight="1">
      <c r="O62" s="43"/>
      <c r="T62" s="665"/>
      <c r="U62" s="665"/>
      <c r="V62" s="665"/>
      <c r="W62" s="665"/>
      <c r="X62" s="665"/>
      <c r="Y62" s="665"/>
      <c r="Z62" s="665"/>
      <c r="AA62" s="665"/>
      <c r="AB62" s="665"/>
      <c r="AC62" s="665"/>
      <c r="AD62" s="665"/>
      <c r="AE62" s="665"/>
      <c r="AF62" s="665"/>
      <c r="AG62" s="665"/>
      <c r="AH62" s="665"/>
      <c r="AI62" s="665"/>
      <c r="AJ62" s="665"/>
      <c r="AK62" s="665"/>
      <c r="AL62" s="665"/>
      <c r="AM62" s="665"/>
      <c r="AS62" s="4">
        <v>18</v>
      </c>
    </row>
    <row r="63" spans="1:45" ht="18.75" customHeight="1">
      <c r="O63" s="43"/>
      <c r="T63" s="665"/>
      <c r="U63" s="665"/>
      <c r="V63" s="665"/>
      <c r="W63" s="665"/>
      <c r="X63" s="665"/>
      <c r="Y63" s="665"/>
      <c r="Z63" s="665"/>
      <c r="AA63" s="665"/>
      <c r="AB63" s="665"/>
      <c r="AC63" s="665"/>
      <c r="AD63" s="665"/>
      <c r="AE63" s="665"/>
      <c r="AF63" s="665"/>
      <c r="AG63" s="665"/>
      <c r="AH63" s="665"/>
      <c r="AI63" s="665"/>
      <c r="AJ63" s="665"/>
      <c r="AK63" s="665"/>
      <c r="AL63" s="665"/>
      <c r="AM63" s="665"/>
      <c r="AS63" s="4">
        <v>18</v>
      </c>
    </row>
    <row r="64" spans="1:45" ht="29.25" customHeight="1">
      <c r="O64" s="43"/>
      <c r="T64" s="665"/>
      <c r="U64" s="665"/>
      <c r="V64" s="665"/>
      <c r="W64" s="665"/>
      <c r="X64" s="665"/>
      <c r="Y64" s="665"/>
      <c r="Z64" s="665"/>
      <c r="AA64" s="665"/>
      <c r="AB64" s="665"/>
      <c r="AC64" s="665"/>
      <c r="AD64" s="665"/>
      <c r="AE64" s="665"/>
      <c r="AF64" s="665"/>
      <c r="AG64" s="665"/>
      <c r="AH64" s="665"/>
      <c r="AI64" s="665"/>
      <c r="AJ64" s="665"/>
      <c r="AK64" s="665"/>
      <c r="AL64" s="665"/>
      <c r="AM64" s="665"/>
      <c r="AS64" s="4">
        <v>28</v>
      </c>
    </row>
    <row r="65" spans="1:45" ht="22.5" hidden="1" customHeight="1">
      <c r="A65" s="43" t="s">
        <v>82</v>
      </c>
      <c r="B65" s="43">
        <v>0</v>
      </c>
      <c r="C65" s="43">
        <v>0</v>
      </c>
      <c r="D65" s="43">
        <v>0</v>
      </c>
      <c r="E65" s="43">
        <v>0</v>
      </c>
      <c r="F65" s="43">
        <v>0</v>
      </c>
      <c r="G65" s="43">
        <v>0</v>
      </c>
      <c r="H65" s="43">
        <v>0</v>
      </c>
      <c r="I65" s="43">
        <v>0</v>
      </c>
      <c r="J65" s="43">
        <v>0</v>
      </c>
      <c r="K65" s="43">
        <v>0</v>
      </c>
      <c r="L65" s="43">
        <v>0</v>
      </c>
      <c r="M65" s="167">
        <v>0</v>
      </c>
      <c r="N65" s="167">
        <v>0</v>
      </c>
      <c r="O65" s="167">
        <v>0</v>
      </c>
      <c r="P65" s="23">
        <v>3</v>
      </c>
      <c r="Q65" s="20">
        <v>3</v>
      </c>
      <c r="R65" s="20">
        <v>3</v>
      </c>
      <c r="S65" s="4">
        <v>12</v>
      </c>
      <c r="T65" s="4">
        <v>31</v>
      </c>
      <c r="U65" s="4">
        <v>0</v>
      </c>
      <c r="V65" s="4">
        <v>0</v>
      </c>
      <c r="W65" s="4">
        <v>0</v>
      </c>
      <c r="X65" s="4">
        <v>0</v>
      </c>
      <c r="Y65" s="4">
        <v>0</v>
      </c>
      <c r="Z65" s="4">
        <v>0</v>
      </c>
      <c r="AA65" s="4">
        <v>0</v>
      </c>
      <c r="AB65" s="4">
        <v>0</v>
      </c>
      <c r="AC65" s="4">
        <v>0</v>
      </c>
      <c r="AD65" s="4">
        <v>24</v>
      </c>
      <c r="AE65" s="4">
        <v>0</v>
      </c>
      <c r="AF65" s="4">
        <v>24</v>
      </c>
      <c r="AG65" s="4">
        <v>24</v>
      </c>
      <c r="AH65" s="4">
        <v>11</v>
      </c>
      <c r="AI65" s="4">
        <v>3</v>
      </c>
      <c r="AJ65" s="4">
        <v>11</v>
      </c>
      <c r="AK65" s="4">
        <v>0</v>
      </c>
      <c r="AL65" s="4">
        <v>4</v>
      </c>
      <c r="AM65" s="4">
        <v>115</v>
      </c>
      <c r="AN65" s="46">
        <v>10</v>
      </c>
      <c r="AO65" s="46">
        <v>10</v>
      </c>
      <c r="AP65" s="46">
        <v>10</v>
      </c>
      <c r="AQ65" s="46">
        <v>10</v>
      </c>
      <c r="AR65" s="46">
        <v>10</v>
      </c>
      <c r="AS65" s="4">
        <v>23</v>
      </c>
    </row>
  </sheetData>
  <sheetProtection formatColumns="0" formatRows="0" insertRows="0" deleteColumns="0" deleteRows="0" sort="0" autoFilter="0"/>
  <mergeCells count="112">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 ref="V7:AC7"/>
    <mergeCell ref="AD7:AL7"/>
    <mergeCell ref="V2:AC2"/>
    <mergeCell ref="AD2:AL2"/>
    <mergeCell ref="V3:AC3"/>
    <mergeCell ref="AD3:AL3"/>
    <mergeCell ref="V4:AC4"/>
    <mergeCell ref="AD4:AL4"/>
    <mergeCell ref="V5:AC5"/>
    <mergeCell ref="AD5:AL5"/>
    <mergeCell ref="V6:AC6"/>
    <mergeCell ref="AD6:AL6"/>
    <mergeCell ref="AM8:AM10"/>
    <mergeCell ref="AH17:AH18"/>
    <mergeCell ref="AI17:AI18"/>
    <mergeCell ref="AJ17:AJ18"/>
    <mergeCell ref="AK17:AK18"/>
    <mergeCell ref="AH8:AH9"/>
    <mergeCell ref="AI8:AI9"/>
    <mergeCell ref="AJ8:AJ9"/>
    <mergeCell ref="AK8:AK9"/>
    <mergeCell ref="S32:T32"/>
    <mergeCell ref="V32:AB32"/>
    <mergeCell ref="AD32:AJ32"/>
    <mergeCell ref="V37:AC37"/>
    <mergeCell ref="AD37:AK37"/>
    <mergeCell ref="S34:T34"/>
    <mergeCell ref="V34:AB34"/>
    <mergeCell ref="AD34:AJ34"/>
    <mergeCell ref="S35:T35"/>
    <mergeCell ref="V35:AB35"/>
    <mergeCell ref="AD35:AJ35"/>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xr:uid="{00000000-0002-0000-0B00-00000000000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xr:uid="{00000000-0002-0000-0B00-00000100000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xr:uid="{00000000-0002-0000-0B00-000002000000}"/>
    <dataValidation type="list" allowBlank="1" showInputMessage="1" showErrorMessage="1" errorTitle="Ошибка" error="Выберите значение из списка" sqref="T65585 T131121 T196657 T262193 T327729 T393265 T458801 T524337 T589873 T655409 T720945 T786481 T852017 T917553 T983089" xr:uid="{00000000-0002-0000-0B00-000003000000}">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xr:uid="{00000000-0002-0000-0B00-00000400000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xr:uid="{00000000-0002-0000-0B00-000005000000}">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xr:uid="{00000000-0002-0000-0B00-000006000000}"/>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xr:uid="{00000000-0002-0000-0B00-000007000000}">
      <formula1>kind_of_cons</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E5AD24-C27F-67AD-FF1B-578785E221B4}">
  <sheetPr>
    <tabColor theme="6" tint="0.39997558519241921"/>
  </sheetPr>
  <dimension ref="A1:AS65"/>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4" hidden="1"/>
    <col min="2" max="2" width="11" style="4" hidden="1" customWidth="1"/>
    <col min="3" max="3" width="10.5703125" style="4" hidden="1"/>
    <col min="4" max="4" width="11.85546875" style="4" hidden="1" customWidth="1"/>
    <col min="5" max="5" width="10" style="4" hidden="1" customWidth="1"/>
    <col min="6" max="6" width="8.7109375" style="4" hidden="1" customWidth="1"/>
    <col min="7" max="7" width="7.5703125" style="4" hidden="1" customWidth="1"/>
    <col min="8" max="8" width="11.42578125" style="4" hidden="1" customWidth="1"/>
    <col min="9" max="9" width="12" style="4" hidden="1" customWidth="1"/>
    <col min="10" max="10" width="9.85546875" style="4" hidden="1" customWidth="1"/>
    <col min="11" max="11" width="11.42578125" style="4" hidden="1" customWidth="1"/>
    <col min="12" max="12" width="19.140625" style="4" hidden="1" customWidth="1"/>
    <col min="13" max="14" width="12.28515625" style="23" hidden="1" customWidth="1"/>
    <col min="15" max="15" width="23.42578125" style="23" hidden="1" customWidth="1"/>
    <col min="16" max="16" width="3" style="23" customWidth="1"/>
    <col min="17" max="18" width="3" style="20" customWidth="1"/>
    <col min="19" max="19" width="12" style="4" customWidth="1"/>
    <col min="20" max="20" width="31" style="4" customWidth="1"/>
    <col min="21" max="21" width="0.140625" style="4" customWidth="1"/>
    <col min="22" max="22" width="24.7109375" style="4" hidden="1" customWidth="1"/>
    <col min="23" max="23" width="0.140625" style="4" hidden="1" customWidth="1"/>
    <col min="24" max="25" width="24.7109375" style="4" hidden="1" customWidth="1"/>
    <col min="26" max="26" width="11.7109375" style="4" hidden="1" customWidth="1"/>
    <col min="27" max="27" width="3.7109375" style="4" hidden="1" customWidth="1"/>
    <col min="28" max="28" width="11.7109375" style="4" hidden="1" customWidth="1"/>
    <col min="29" max="29" width="8.5703125" style="4" hidden="1" customWidth="1"/>
    <col min="30" max="30" width="24.7109375" style="4" customWidth="1"/>
    <col min="31" max="31" width="0.140625" style="4" customWidth="1"/>
    <col min="32" max="33" width="24" style="4" customWidth="1"/>
    <col min="34" max="34" width="11" style="4" customWidth="1"/>
    <col min="35" max="35" width="3.7109375" style="4" customWidth="1"/>
    <col min="36" max="36" width="11" style="4" customWidth="1"/>
    <col min="37" max="37" width="8.5703125" style="4" hidden="1" customWidth="1"/>
    <col min="38" max="38" width="4" style="4" customWidth="1"/>
    <col min="39" max="39" width="115" style="4" customWidth="1"/>
    <col min="40" max="44" width="10" style="46" customWidth="1"/>
    <col min="45" max="45" width="10.5703125" style="4" hidden="1"/>
  </cols>
  <sheetData>
    <row r="1" spans="1:45" ht="22.5" hidden="1" customHeight="1">
      <c r="AS1" s="4" t="s">
        <v>14</v>
      </c>
    </row>
    <row r="2" spans="1:45" ht="21" hidden="1" customHeight="1">
      <c r="E2" s="679">
        <v>1</v>
      </c>
      <c r="M2" s="4"/>
      <c r="N2" s="4"/>
      <c r="O2" s="4"/>
      <c r="Q2" s="4"/>
      <c r="R2" s="119"/>
      <c r="S2" s="24" t="e">
        <f>INDEX(PT_DIFFERENTIATION_NUM_NTAR,MATCH(A2,PT_DIFFERENTIATION_NTAR_ID,0))</f>
        <v>#N/A</v>
      </c>
      <c r="T2" s="29" t="s">
        <v>128</v>
      </c>
      <c r="U2" s="29"/>
      <c r="V2" s="742"/>
      <c r="W2" s="743"/>
      <c r="X2" s="743"/>
      <c r="Y2" s="743"/>
      <c r="Z2" s="743"/>
      <c r="AA2" s="743"/>
      <c r="AB2" s="743"/>
      <c r="AC2" s="744"/>
      <c r="AD2" s="742" t="e">
        <f>INDEX(PT_DIFFERENTIATION_NTAR,MATCH(A2,PT_DIFFERENTIATION_NTAR_ID,0))</f>
        <v>#N/A</v>
      </c>
      <c r="AE2" s="743"/>
      <c r="AF2" s="743"/>
      <c r="AG2" s="743"/>
      <c r="AH2" s="743"/>
      <c r="AI2" s="743"/>
      <c r="AJ2" s="743"/>
      <c r="AK2" s="743"/>
      <c r="AL2" s="744"/>
      <c r="AM2" s="428" t="s">
        <v>399</v>
      </c>
      <c r="AP2" s="46" t="str">
        <f t="shared" ref="AP2:AP15" si="0">IF(T2="","",T2)</f>
        <v>Наименование тарифа</v>
      </c>
      <c r="AS2" s="4">
        <v>0</v>
      </c>
    </row>
    <row r="3" spans="1:45" ht="21" hidden="1" customHeight="1">
      <c r="E3" s="662"/>
      <c r="F3" s="679">
        <v>1</v>
      </c>
      <c r="M3" s="4"/>
      <c r="N3" s="4"/>
      <c r="O3" s="4"/>
      <c r="P3" s="4"/>
      <c r="Q3" s="118"/>
      <c r="R3" s="119"/>
      <c r="S3" s="24" t="e">
        <f>INDEX(PT_DIFFERENTIATION_NUM_TER,MATCH(B3,PT_DIFFERENTIATION_TER_ID,0))</f>
        <v>#N/A</v>
      </c>
      <c r="T3" s="24" t="s">
        <v>400</v>
      </c>
      <c r="U3" s="29"/>
      <c r="V3" s="742"/>
      <c r="W3" s="743"/>
      <c r="X3" s="743"/>
      <c r="Y3" s="743"/>
      <c r="Z3" s="743"/>
      <c r="AA3" s="743"/>
      <c r="AB3" s="743"/>
      <c r="AC3" s="744"/>
      <c r="AD3" s="742" t="e">
        <f>INDEX(PT_DIFFERENTIATION_TER,MATCH(B3,PT_DIFFERENTIATION_TER_ID,0))</f>
        <v>#N/A</v>
      </c>
      <c r="AE3" s="743"/>
      <c r="AF3" s="743"/>
      <c r="AG3" s="743"/>
      <c r="AH3" s="743"/>
      <c r="AI3" s="743"/>
      <c r="AJ3" s="743"/>
      <c r="AK3" s="743"/>
      <c r="AL3" s="744"/>
      <c r="AM3" s="428" t="s">
        <v>401</v>
      </c>
      <c r="AP3" s="46" t="str">
        <f t="shared" si="0"/>
        <v>Территория действия тарифа</v>
      </c>
      <c r="AS3" s="4">
        <v>0</v>
      </c>
    </row>
    <row r="4" spans="1:45" ht="23.25" hidden="1" customHeight="1">
      <c r="E4" s="662"/>
      <c r="F4" s="662"/>
      <c r="G4" s="679">
        <v>1</v>
      </c>
      <c r="M4" s="4"/>
      <c r="N4" s="4"/>
      <c r="O4" s="4"/>
      <c r="P4" s="16"/>
      <c r="Q4" s="118"/>
      <c r="R4" s="119"/>
      <c r="S4" s="24" t="e">
        <f>INDEX(PT_DIFFERENTIATION_NUM_CS,MATCH(C4,PT_DIFFERENTIATION_CS_ID,0))</f>
        <v>#N/A</v>
      </c>
      <c r="T4" s="24" t="s">
        <v>402</v>
      </c>
      <c r="U4" s="29"/>
      <c r="V4" s="742"/>
      <c r="W4" s="743"/>
      <c r="X4" s="743"/>
      <c r="Y4" s="743"/>
      <c r="Z4" s="743"/>
      <c r="AA4" s="743"/>
      <c r="AB4" s="743"/>
      <c r="AC4" s="744"/>
      <c r="AD4" s="742" t="e">
        <f>INDEX(PT_DIFFERENTIATION_CS,MATCH(C4,PT_DIFFERENTIATION_CS_ID,0))</f>
        <v>#N/A</v>
      </c>
      <c r="AE4" s="743"/>
      <c r="AF4" s="743"/>
      <c r="AG4" s="743"/>
      <c r="AH4" s="743"/>
      <c r="AI4" s="743"/>
      <c r="AJ4" s="743"/>
      <c r="AK4" s="743"/>
      <c r="AL4" s="744"/>
      <c r="AM4" s="428" t="s">
        <v>403</v>
      </c>
      <c r="AP4" s="46" t="str">
        <f t="shared" si="0"/>
        <v xml:space="preserve">Наименование системы теплоснабжения </v>
      </c>
      <c r="AS4" s="4">
        <v>0</v>
      </c>
    </row>
    <row r="5" spans="1:45" ht="21" hidden="1" customHeight="1">
      <c r="E5" s="662"/>
      <c r="F5" s="662"/>
      <c r="G5" s="662"/>
      <c r="H5" s="679">
        <v>1</v>
      </c>
      <c r="M5" s="4"/>
      <c r="N5" s="4"/>
      <c r="O5" s="4"/>
      <c r="P5" s="16"/>
      <c r="Q5" s="118"/>
      <c r="R5" s="119"/>
      <c r="S5" s="24" t="e">
        <f>INDEX(PT_DIFFERENTIATION_NUM_IST_TE,MATCH(D5,PT_DIFFERENTIATION_IST_TE_ID,0))</f>
        <v>#N/A</v>
      </c>
      <c r="T5" s="24" t="s">
        <v>404</v>
      </c>
      <c r="U5" s="29"/>
      <c r="V5" s="742"/>
      <c r="W5" s="743"/>
      <c r="X5" s="743"/>
      <c r="Y5" s="743"/>
      <c r="Z5" s="743"/>
      <c r="AA5" s="743"/>
      <c r="AB5" s="743"/>
      <c r="AC5" s="744"/>
      <c r="AD5" s="742" t="e">
        <f>INDEX(PT_DIFFERENTIATION_IST_TE,MATCH(D5,PT_DIFFERENTIATION_IST_TE_ID,0))</f>
        <v>#N/A</v>
      </c>
      <c r="AE5" s="743"/>
      <c r="AF5" s="743"/>
      <c r="AG5" s="743"/>
      <c r="AH5" s="743"/>
      <c r="AI5" s="743"/>
      <c r="AJ5" s="743"/>
      <c r="AK5" s="743"/>
      <c r="AL5" s="744"/>
      <c r="AM5" s="428" t="s">
        <v>405</v>
      </c>
      <c r="AP5" s="46" t="str">
        <f t="shared" si="0"/>
        <v xml:space="preserve">Источник тепловой энергии  </v>
      </c>
      <c r="AS5" s="4">
        <v>0</v>
      </c>
    </row>
    <row r="6" spans="1:45" ht="47.25" hidden="1" customHeight="1">
      <c r="E6" s="662"/>
      <c r="F6" s="662"/>
      <c r="G6" s="662"/>
      <c r="H6" s="662"/>
      <c r="I6" s="679" t="e">
        <f>S5&amp;".1"</f>
        <v>#N/A</v>
      </c>
      <c r="L6" s="4" t="s">
        <v>406</v>
      </c>
      <c r="M6" s="4"/>
      <c r="P6" s="748">
        <v>1</v>
      </c>
      <c r="Q6" s="46"/>
      <c r="R6" s="120"/>
      <c r="S6" s="24" t="e">
        <f>$I6</f>
        <v>#N/A</v>
      </c>
      <c r="T6" s="24" t="s">
        <v>407</v>
      </c>
      <c r="U6" s="29"/>
      <c r="V6" s="737"/>
      <c r="W6" s="738"/>
      <c r="X6" s="738"/>
      <c r="Y6" s="738"/>
      <c r="Z6" s="738"/>
      <c r="AA6" s="738"/>
      <c r="AB6" s="738"/>
      <c r="AC6" s="739"/>
      <c r="AD6" s="737"/>
      <c r="AE6" s="738"/>
      <c r="AF6" s="738"/>
      <c r="AG6" s="738"/>
      <c r="AH6" s="738"/>
      <c r="AI6" s="738"/>
      <c r="AJ6" s="738"/>
      <c r="AK6" s="738"/>
      <c r="AL6" s="739"/>
      <c r="AM6" s="428" t="s">
        <v>408</v>
      </c>
      <c r="AP6" s="46" t="str">
        <f t="shared" si="0"/>
        <v>Схема подключения теплопотребляющей установки к коллектору источника тепловой энергии</v>
      </c>
      <c r="AS6" s="4">
        <v>0</v>
      </c>
    </row>
    <row r="7" spans="1:45" ht="21" hidden="1" customHeight="1">
      <c r="E7" s="662"/>
      <c r="F7" s="662"/>
      <c r="G7" s="662"/>
      <c r="H7" s="662"/>
      <c r="I7" s="662"/>
      <c r="J7" s="679" t="e">
        <f>I6&amp;".1"</f>
        <v>#N/A</v>
      </c>
      <c r="L7" s="4" t="s">
        <v>409</v>
      </c>
      <c r="M7" s="4"/>
      <c r="N7" s="4"/>
      <c r="P7" s="748"/>
      <c r="Q7" s="748">
        <v>1</v>
      </c>
      <c r="R7" s="120"/>
      <c r="S7" s="24" t="e">
        <f>$J7</f>
        <v>#N/A</v>
      </c>
      <c r="T7" s="24" t="s">
        <v>410</v>
      </c>
      <c r="U7" s="29"/>
      <c r="V7" s="737"/>
      <c r="W7" s="738"/>
      <c r="X7" s="738"/>
      <c r="Y7" s="738"/>
      <c r="Z7" s="738"/>
      <c r="AA7" s="738"/>
      <c r="AB7" s="738"/>
      <c r="AC7" s="739"/>
      <c r="AD7" s="737"/>
      <c r="AE7" s="738"/>
      <c r="AF7" s="738"/>
      <c r="AG7" s="738"/>
      <c r="AH7" s="738"/>
      <c r="AI7" s="738"/>
      <c r="AJ7" s="738"/>
      <c r="AK7" s="738"/>
      <c r="AL7" s="739"/>
      <c r="AM7" s="428" t="s">
        <v>411</v>
      </c>
      <c r="AP7" s="46" t="str">
        <f t="shared" si="0"/>
        <v>Группа потребителей</v>
      </c>
      <c r="AS7" s="4">
        <v>0</v>
      </c>
    </row>
    <row r="8" spans="1:45" ht="21" hidden="1" customHeight="1">
      <c r="E8" s="662"/>
      <c r="F8" s="662"/>
      <c r="G8" s="662"/>
      <c r="H8" s="662"/>
      <c r="I8" s="662"/>
      <c r="J8" s="662"/>
      <c r="K8" s="679" t="e">
        <f>J7&amp;".1"</f>
        <v>#N/A</v>
      </c>
      <c r="L8" s="4" t="s">
        <v>412</v>
      </c>
      <c r="M8" s="4"/>
      <c r="N8" s="4"/>
      <c r="O8" s="4"/>
      <c r="P8" s="748"/>
      <c r="Q8" s="748"/>
      <c r="R8" s="120">
        <v>1</v>
      </c>
      <c r="S8" s="24" t="e">
        <f>$K8</f>
        <v>#N/A</v>
      </c>
      <c r="T8" s="356"/>
      <c r="U8" s="29"/>
      <c r="V8" s="168"/>
      <c r="W8" s="110"/>
      <c r="X8" s="168"/>
      <c r="Y8" s="427"/>
      <c r="Z8" s="749"/>
      <c r="AA8" s="688" t="s">
        <v>66</v>
      </c>
      <c r="AB8" s="749"/>
      <c r="AC8" s="688" t="s">
        <v>66</v>
      </c>
      <c r="AD8" s="168"/>
      <c r="AE8" s="110"/>
      <c r="AF8" s="168"/>
      <c r="AG8" s="427"/>
      <c r="AH8" s="749"/>
      <c r="AI8" s="688" t="s">
        <v>66</v>
      </c>
      <c r="AJ8" s="749"/>
      <c r="AK8" s="688" t="s">
        <v>66</v>
      </c>
      <c r="AL8" s="110"/>
      <c r="AM8" s="762" t="s">
        <v>413</v>
      </c>
      <c r="AN8" s="46" t="e">
        <f ca="1">STRCHECKDATE(V9:AL9)</f>
        <v>#NAME?</v>
      </c>
      <c r="AP8" s="46" t="str">
        <f t="shared" si="0"/>
        <v/>
      </c>
      <c r="AS8" s="4">
        <v>0</v>
      </c>
    </row>
    <row r="9" spans="1:45" ht="0.75" hidden="1" customHeight="1">
      <c r="E9" s="662"/>
      <c r="F9" s="662"/>
      <c r="G9" s="662"/>
      <c r="H9" s="662"/>
      <c r="I9" s="662"/>
      <c r="J9" s="662"/>
      <c r="K9" s="679"/>
      <c r="M9" s="4"/>
      <c r="N9" s="4"/>
      <c r="O9" s="4"/>
      <c r="P9" s="748"/>
      <c r="Q9" s="748"/>
      <c r="R9" s="120"/>
      <c r="S9" s="31"/>
      <c r="T9" s="29"/>
      <c r="U9" s="29"/>
      <c r="V9" s="110"/>
      <c r="W9" s="110"/>
      <c r="X9" s="110"/>
      <c r="Y9" s="111" t="str">
        <f>Z8&amp;"-"&amp;AB8</f>
        <v>-</v>
      </c>
      <c r="Z9" s="707"/>
      <c r="AA9" s="688"/>
      <c r="AB9" s="707"/>
      <c r="AC9" s="688"/>
      <c r="AD9" s="110"/>
      <c r="AE9" s="110"/>
      <c r="AF9" s="110"/>
      <c r="AG9" s="111" t="str">
        <f>AH8&amp;"-"&amp;AJ8</f>
        <v>-</v>
      </c>
      <c r="AH9" s="707"/>
      <c r="AI9" s="688"/>
      <c r="AJ9" s="707"/>
      <c r="AK9" s="688"/>
      <c r="AL9" s="110"/>
      <c r="AM9" s="763"/>
      <c r="AP9" s="46" t="str">
        <f t="shared" si="0"/>
        <v/>
      </c>
      <c r="AS9" s="4">
        <v>0</v>
      </c>
    </row>
    <row r="10" spans="1:45" ht="15" hidden="1" customHeight="1">
      <c r="E10" s="662"/>
      <c r="F10" s="662"/>
      <c r="G10" s="662"/>
      <c r="H10" s="662"/>
      <c r="I10" s="662"/>
      <c r="J10" s="679"/>
      <c r="M10" s="4"/>
      <c r="N10" s="4"/>
      <c r="P10" s="748"/>
      <c r="Q10" s="748"/>
      <c r="R10" s="120"/>
      <c r="S10" s="434"/>
      <c r="T10" s="37" t="s">
        <v>414</v>
      </c>
      <c r="U10" s="58"/>
      <c r="V10" s="58"/>
      <c r="W10" s="58"/>
      <c r="X10" s="58"/>
      <c r="Y10" s="58"/>
      <c r="Z10" s="58"/>
      <c r="AA10" s="58"/>
      <c r="AB10" s="58"/>
      <c r="AC10" s="58"/>
      <c r="AD10" s="58"/>
      <c r="AE10" s="58"/>
      <c r="AF10" s="58"/>
      <c r="AG10" s="58"/>
      <c r="AH10" s="58"/>
      <c r="AI10" s="58"/>
      <c r="AJ10" s="58"/>
      <c r="AK10" s="58"/>
      <c r="AL10" s="59"/>
      <c r="AM10" s="764"/>
      <c r="AP10" s="46" t="str">
        <f t="shared" si="0"/>
        <v>Добавить вид теплоносителя (параметры теплоносителя)</v>
      </c>
      <c r="AS10" s="4">
        <v>0</v>
      </c>
    </row>
    <row r="11" spans="1:45" ht="15" hidden="1" customHeight="1">
      <c r="E11" s="662"/>
      <c r="F11" s="662"/>
      <c r="G11" s="662"/>
      <c r="H11" s="662"/>
      <c r="I11" s="679"/>
      <c r="M11" s="4"/>
      <c r="P11" s="748"/>
      <c r="Q11" s="46"/>
      <c r="R11" s="120"/>
      <c r="S11" s="434"/>
      <c r="T11" s="37" t="s">
        <v>415</v>
      </c>
      <c r="U11" s="58"/>
      <c r="V11" s="58"/>
      <c r="W11" s="58"/>
      <c r="X11" s="58"/>
      <c r="Y11" s="58"/>
      <c r="Z11" s="58"/>
      <c r="AA11" s="58"/>
      <c r="AB11" s="58"/>
      <c r="AC11" s="54"/>
      <c r="AD11" s="58"/>
      <c r="AE11" s="58"/>
      <c r="AF11" s="58"/>
      <c r="AG11" s="58"/>
      <c r="AH11" s="58"/>
      <c r="AI11" s="58"/>
      <c r="AJ11" s="58"/>
      <c r="AK11" s="54"/>
      <c r="AL11" s="58"/>
      <c r="AM11" s="102"/>
      <c r="AP11" s="46" t="str">
        <f t="shared" si="0"/>
        <v>Добавить группу потребителей</v>
      </c>
      <c r="AS11" s="4">
        <v>0</v>
      </c>
    </row>
    <row r="12" spans="1:45" ht="14.25" hidden="1" customHeight="1">
      <c r="E12" s="662"/>
      <c r="F12" s="662"/>
      <c r="G12" s="662"/>
      <c r="H12" s="679"/>
      <c r="M12" s="4"/>
      <c r="N12" s="4"/>
      <c r="O12" s="4"/>
      <c r="P12" s="4"/>
      <c r="R12" s="119"/>
      <c r="S12" s="434"/>
      <c r="T12" s="37" t="s">
        <v>416</v>
      </c>
      <c r="U12" s="58"/>
      <c r="V12" s="58"/>
      <c r="W12" s="58"/>
      <c r="X12" s="58"/>
      <c r="Y12" s="58"/>
      <c r="Z12" s="58"/>
      <c r="AA12" s="58"/>
      <c r="AB12" s="58"/>
      <c r="AC12" s="54"/>
      <c r="AD12" s="58"/>
      <c r="AE12" s="58"/>
      <c r="AF12" s="58"/>
      <c r="AG12" s="58"/>
      <c r="AH12" s="58"/>
      <c r="AI12" s="58"/>
      <c r="AJ12" s="58"/>
      <c r="AK12" s="54"/>
      <c r="AL12" s="58"/>
      <c r="AM12" s="102"/>
      <c r="AP12" s="46" t="str">
        <f t="shared" si="0"/>
        <v>Добавить схему подключения</v>
      </c>
      <c r="AS12" s="4">
        <v>0</v>
      </c>
    </row>
    <row r="13" spans="1:45" s="46" customFormat="1" ht="0.75" hidden="1" customHeight="1">
      <c r="A13" s="117"/>
      <c r="B13" s="117"/>
      <c r="C13" s="117"/>
      <c r="D13" s="117"/>
      <c r="E13" s="662"/>
      <c r="F13" s="662"/>
      <c r="G13" s="679"/>
      <c r="H13" s="117"/>
      <c r="I13" s="117"/>
      <c r="J13" s="117"/>
      <c r="K13" s="117"/>
      <c r="L13" s="117"/>
      <c r="M13" s="117"/>
      <c r="N13" s="117"/>
      <c r="O13" s="117"/>
      <c r="Q13" s="446"/>
      <c r="S13" s="447"/>
      <c r="T13" s="448" t="s">
        <v>417</v>
      </c>
      <c r="U13" s="448"/>
      <c r="V13" s="448"/>
      <c r="W13" s="448"/>
      <c r="X13" s="448"/>
      <c r="Y13" s="448"/>
      <c r="Z13" s="448"/>
      <c r="AA13" s="448"/>
      <c r="AB13" s="448"/>
      <c r="AC13" s="448"/>
      <c r="AD13" s="448"/>
      <c r="AE13" s="448"/>
      <c r="AF13" s="448"/>
      <c r="AG13" s="448"/>
      <c r="AH13" s="448"/>
      <c r="AI13" s="448"/>
      <c r="AJ13" s="448"/>
      <c r="AK13" s="448"/>
      <c r="AL13" s="448"/>
      <c r="AM13" s="448"/>
      <c r="AP13" s="46" t="str">
        <f t="shared" si="0"/>
        <v>Добавить источник для дифференциации</v>
      </c>
      <c r="AS13" s="46">
        <v>0</v>
      </c>
    </row>
    <row r="14" spans="1:45" s="46" customFormat="1" ht="0.75" hidden="1" customHeight="1">
      <c r="A14" s="117"/>
      <c r="B14" s="117"/>
      <c r="C14" s="117"/>
      <c r="D14" s="117"/>
      <c r="E14" s="662"/>
      <c r="F14" s="679"/>
      <c r="G14" s="117"/>
      <c r="H14" s="117"/>
      <c r="I14" s="117"/>
      <c r="J14" s="117"/>
      <c r="K14" s="117"/>
      <c r="L14" s="117"/>
      <c r="M14" s="178"/>
      <c r="N14" s="178"/>
      <c r="O14" s="117"/>
      <c r="Q14" s="446"/>
      <c r="S14" s="449"/>
      <c r="T14" s="160" t="s">
        <v>418</v>
      </c>
      <c r="U14" s="160"/>
      <c r="V14" s="160"/>
      <c r="W14" s="160"/>
      <c r="X14" s="160"/>
      <c r="Y14" s="160"/>
      <c r="Z14" s="160"/>
      <c r="AA14" s="160"/>
      <c r="AB14" s="160"/>
      <c r="AC14" s="160"/>
      <c r="AD14" s="160"/>
      <c r="AE14" s="160"/>
      <c r="AF14" s="160"/>
      <c r="AG14" s="160"/>
      <c r="AH14" s="160"/>
      <c r="AI14" s="160"/>
      <c r="AJ14" s="160"/>
      <c r="AK14" s="160"/>
      <c r="AL14" s="160"/>
      <c r="AM14" s="160"/>
      <c r="AP14" s="46" t="str">
        <f t="shared" si="0"/>
        <v>Добавить централизованную систему для дифференциации</v>
      </c>
      <c r="AS14" s="46">
        <v>0</v>
      </c>
    </row>
    <row r="15" spans="1:45" s="46" customFormat="1" ht="0.75" hidden="1" customHeight="1">
      <c r="A15" s="117"/>
      <c r="B15" s="117"/>
      <c r="C15" s="117"/>
      <c r="D15" s="117"/>
      <c r="E15" s="679"/>
      <c r="F15" s="117"/>
      <c r="G15" s="117"/>
      <c r="H15" s="117"/>
      <c r="I15" s="117"/>
      <c r="J15" s="117"/>
      <c r="K15" s="117"/>
      <c r="L15" s="117"/>
      <c r="M15" s="178"/>
      <c r="N15" s="178"/>
      <c r="O15" s="117"/>
      <c r="Q15" s="446"/>
      <c r="S15" s="449"/>
      <c r="T15" s="160" t="s">
        <v>419</v>
      </c>
      <c r="U15" s="160"/>
      <c r="V15" s="160"/>
      <c r="W15" s="160"/>
      <c r="X15" s="160"/>
      <c r="Y15" s="160"/>
      <c r="Z15" s="160"/>
      <c r="AA15" s="160"/>
      <c r="AB15" s="160"/>
      <c r="AC15" s="160"/>
      <c r="AD15" s="160"/>
      <c r="AE15" s="160"/>
      <c r="AF15" s="160"/>
      <c r="AG15" s="160"/>
      <c r="AH15" s="160"/>
      <c r="AI15" s="160"/>
      <c r="AJ15" s="160"/>
      <c r="AK15" s="160"/>
      <c r="AL15" s="160"/>
      <c r="AM15" s="160"/>
      <c r="AP15" s="46" t="str">
        <f t="shared" si="0"/>
        <v>Добавить территорию для дифференциации</v>
      </c>
      <c r="AS15" s="46">
        <v>0</v>
      </c>
    </row>
    <row r="16" spans="1:45" ht="14.25" hidden="1" customHeight="1">
      <c r="AS16" s="4">
        <v>0</v>
      </c>
    </row>
    <row r="17" spans="1:45" ht="14.25" hidden="1" customHeight="1">
      <c r="AD17" s="205"/>
      <c r="AE17" s="205"/>
      <c r="AF17" s="205"/>
      <c r="AG17" s="451"/>
      <c r="AH17" s="746"/>
      <c r="AI17" s="745" t="s">
        <v>66</v>
      </c>
      <c r="AJ17" s="746"/>
      <c r="AK17" s="745" t="s">
        <v>66</v>
      </c>
      <c r="AS17" s="4">
        <v>0</v>
      </c>
    </row>
    <row r="18" spans="1:45" ht="14.25" hidden="1" customHeight="1">
      <c r="AD18" s="205"/>
      <c r="AE18" s="205"/>
      <c r="AF18" s="205"/>
      <c r="AG18" s="111" t="str">
        <f>AH17&amp;"-"&amp;AJ17</f>
        <v>-</v>
      </c>
      <c r="AH18" s="745"/>
      <c r="AI18" s="745"/>
      <c r="AJ18" s="745"/>
      <c r="AK18" s="745"/>
      <c r="AS18" s="4">
        <v>0</v>
      </c>
    </row>
    <row r="19" spans="1:45" ht="14.25" hidden="1" customHeight="1">
      <c r="AS19" s="4">
        <v>0</v>
      </c>
    </row>
    <row r="20" spans="1:45" s="43" customFormat="1" ht="14.25" hidden="1" customHeight="1">
      <c r="A20" s="4"/>
      <c r="B20" s="4"/>
      <c r="C20" s="4"/>
      <c r="D20" s="4"/>
      <c r="E20" s="4"/>
      <c r="F20" s="4"/>
      <c r="G20" s="4"/>
      <c r="H20" s="4"/>
      <c r="I20" s="4"/>
      <c r="J20" s="4"/>
      <c r="K20" s="4"/>
      <c r="L20" s="4"/>
      <c r="M20" s="23"/>
      <c r="N20" s="23"/>
      <c r="O20" s="31" t="s">
        <v>420</v>
      </c>
      <c r="P20" s="167"/>
      <c r="Q20" s="452"/>
      <c r="R20" s="452"/>
      <c r="Z20" s="261"/>
      <c r="AB20" s="261"/>
      <c r="AH20" s="261"/>
      <c r="AJ20" s="261"/>
      <c r="AN20" s="46"/>
      <c r="AO20" s="46"/>
      <c r="AP20" s="46"/>
      <c r="AQ20" s="46"/>
      <c r="AR20" s="46"/>
      <c r="AS20" s="43">
        <v>0</v>
      </c>
    </row>
    <row r="21" spans="1:45" s="43" customFormat="1" ht="14.25" hidden="1" customHeight="1">
      <c r="A21" s="4"/>
      <c r="B21" s="4"/>
      <c r="C21" s="4"/>
      <c r="D21" s="4"/>
      <c r="E21" s="4"/>
      <c r="F21" s="4"/>
      <c r="G21" s="4"/>
      <c r="H21" s="4"/>
      <c r="I21" s="4"/>
      <c r="J21" s="4"/>
      <c r="K21" s="4"/>
      <c r="L21" s="4"/>
      <c r="M21" s="23"/>
      <c r="N21" s="23"/>
      <c r="O21" s="23"/>
      <c r="P21" s="167"/>
      <c r="Q21" s="452"/>
      <c r="R21" s="452"/>
      <c r="AN21" s="46"/>
      <c r="AO21" s="46"/>
      <c r="AP21" s="46"/>
      <c r="AQ21" s="46"/>
      <c r="AR21" s="46"/>
      <c r="AS21" s="43">
        <v>0</v>
      </c>
    </row>
    <row r="22" spans="1:45" s="43" customFormat="1" ht="14.25" hidden="1" customHeight="1">
      <c r="A22" s="4"/>
      <c r="B22" s="4"/>
      <c r="C22" s="4"/>
      <c r="D22" s="4"/>
      <c r="E22" s="4"/>
      <c r="F22" s="4"/>
      <c r="G22" s="4"/>
      <c r="H22" s="4"/>
      <c r="I22" s="4"/>
      <c r="J22" s="4"/>
      <c r="K22" s="4"/>
      <c r="L22" s="4"/>
      <c r="M22" s="23"/>
      <c r="N22" s="23"/>
      <c r="O22" s="4" t="s">
        <v>421</v>
      </c>
      <c r="P22" s="167"/>
      <c r="Q22" s="452"/>
      <c r="R22" s="452"/>
      <c r="T22" s="43" t="s">
        <v>422</v>
      </c>
      <c r="AA22" s="43" t="s">
        <v>423</v>
      </c>
      <c r="AC22" s="43" t="s">
        <v>424</v>
      </c>
      <c r="AD22" s="43" t="s">
        <v>422</v>
      </c>
      <c r="AI22" s="43" t="s">
        <v>425</v>
      </c>
      <c r="AK22" s="43" t="s">
        <v>424</v>
      </c>
      <c r="AN22" s="46"/>
      <c r="AO22" s="46"/>
      <c r="AP22" s="46"/>
      <c r="AQ22" s="46"/>
      <c r="AR22" s="46"/>
      <c r="AS22" s="43">
        <v>0</v>
      </c>
    </row>
    <row r="23" spans="1:45" ht="14.25" hidden="1" customHeight="1">
      <c r="O23" s="4"/>
      <c r="AS23" s="4">
        <v>0</v>
      </c>
    </row>
    <row r="24" spans="1:45" ht="14.25" hidden="1" customHeight="1">
      <c r="O24" s="4"/>
      <c r="AS24" s="4">
        <v>0</v>
      </c>
    </row>
    <row r="25" spans="1:45" ht="14.65" customHeight="1">
      <c r="Q25" s="19"/>
      <c r="R25" s="19"/>
      <c r="S25" s="6"/>
      <c r="T25" s="6"/>
      <c r="U25" s="6"/>
      <c r="AS25" s="4">
        <v>14</v>
      </c>
    </row>
    <row r="26" spans="1:45" ht="14.65" customHeight="1">
      <c r="Q26" s="19"/>
      <c r="R26" s="19"/>
      <c r="S26" s="697"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697"/>
      <c r="U26" s="697"/>
      <c r="V26" s="697"/>
      <c r="W26" s="697"/>
      <c r="X26" s="697"/>
      <c r="Y26" s="697"/>
      <c r="Z26" s="697"/>
      <c r="AA26" s="697"/>
      <c r="AB26" s="697"/>
      <c r="AC26" s="697"/>
      <c r="AD26" s="697"/>
      <c r="AE26" s="697"/>
      <c r="AF26" s="697"/>
      <c r="AG26" s="697"/>
      <c r="AH26" s="697"/>
      <c r="AI26" s="697"/>
      <c r="AJ26" s="697"/>
      <c r="AK26" s="40"/>
      <c r="AS26" s="4">
        <v>14</v>
      </c>
    </row>
    <row r="27" spans="1:45" ht="14.65" customHeight="1">
      <c r="Q27" s="19"/>
      <c r="R27" s="19"/>
      <c r="S27" s="712" t="str">
        <f>IF(org=0,"Не определено",org)</f>
        <v>ООО "Восточная Тепловая компания"</v>
      </c>
      <c r="T27" s="712"/>
      <c r="U27" s="712"/>
      <c r="V27" s="712"/>
      <c r="W27" s="712"/>
      <c r="X27" s="712"/>
      <c r="Y27" s="712"/>
      <c r="Z27" s="712"/>
      <c r="AA27" s="712"/>
      <c r="AB27" s="712"/>
      <c r="AC27" s="712"/>
      <c r="AD27" s="712"/>
      <c r="AE27" s="712"/>
      <c r="AF27" s="712"/>
      <c r="AG27" s="712"/>
      <c r="AH27" s="712"/>
      <c r="AI27" s="712"/>
      <c r="AJ27" s="712"/>
      <c r="AK27" s="40"/>
      <c r="AS27" s="4">
        <v>14</v>
      </c>
    </row>
    <row r="28" spans="1:45" ht="14.25" hidden="1" customHeight="1">
      <c r="Q28" s="19"/>
      <c r="R28" s="19"/>
      <c r="S28" s="6"/>
      <c r="T28" s="6"/>
      <c r="U28" s="6"/>
      <c r="V28" s="109"/>
      <c r="W28" s="109"/>
      <c r="X28" s="109"/>
      <c r="Y28" s="109"/>
      <c r="Z28" s="109"/>
      <c r="AA28" s="109"/>
      <c r="AB28" s="109"/>
      <c r="AC28" s="109"/>
      <c r="AD28" s="109"/>
      <c r="AE28" s="109"/>
      <c r="AF28" s="109"/>
      <c r="AG28" s="109"/>
      <c r="AH28" s="109"/>
      <c r="AI28" s="109"/>
      <c r="AJ28" s="109"/>
      <c r="AK28" s="109"/>
      <c r="AS28" s="4">
        <v>0</v>
      </c>
    </row>
    <row r="29" spans="1:45" s="22" customFormat="1" ht="25.5" hidden="1" customHeight="1">
      <c r="A29" s="4"/>
      <c r="B29" s="4"/>
      <c r="C29" s="4"/>
      <c r="D29" s="4"/>
      <c r="E29" s="4"/>
      <c r="F29" s="4"/>
      <c r="G29" s="4"/>
      <c r="H29" s="4"/>
      <c r="I29" s="4"/>
      <c r="J29" s="4"/>
      <c r="K29" s="4"/>
      <c r="L29" s="4"/>
      <c r="M29" s="4"/>
      <c r="N29" s="4"/>
      <c r="O29" s="4"/>
      <c r="S29" s="721" t="s">
        <v>42</v>
      </c>
      <c r="T29" s="721"/>
      <c r="U29" s="453"/>
      <c r="V29" s="741" t="str">
        <f>IF(TITLE_NAME_OR_PR_CHANGE="",IF(TITLE_NAME_OR_PR="","",TITLE_NAME_OR_PR),TITLE_NAME_OR_PR_CHANGE)</f>
        <v/>
      </c>
      <c r="W29" s="741"/>
      <c r="X29" s="741"/>
      <c r="Y29" s="741"/>
      <c r="Z29" s="741"/>
      <c r="AA29" s="741"/>
      <c r="AB29" s="741"/>
      <c r="AC29" s="4"/>
      <c r="AD29" s="741" t="str">
        <f>IF(TITLE_NAME_OR_PR_CHANGE="",IF(TITLE_NAME_OR_PR="","",TITLE_NAME_OR_PR),TITLE_NAME_OR_PR_CHANGE)</f>
        <v/>
      </c>
      <c r="AE29" s="741"/>
      <c r="AF29" s="741"/>
      <c r="AG29" s="741"/>
      <c r="AH29" s="741"/>
      <c r="AI29" s="741"/>
      <c r="AJ29" s="741"/>
      <c r="AK29" s="4"/>
      <c r="AL29" s="4"/>
      <c r="AM29" s="96"/>
      <c r="AN29" s="46"/>
      <c r="AO29" s="46"/>
      <c r="AP29" s="46"/>
      <c r="AQ29" s="46"/>
      <c r="AR29" s="46"/>
      <c r="AS29" s="22">
        <v>0</v>
      </c>
    </row>
    <row r="30" spans="1:45" s="22" customFormat="1" ht="18.75" hidden="1" customHeight="1">
      <c r="A30" s="4"/>
      <c r="B30" s="4"/>
      <c r="C30" s="4"/>
      <c r="D30" s="4"/>
      <c r="E30" s="4"/>
      <c r="F30" s="4"/>
      <c r="G30" s="4"/>
      <c r="H30" s="4"/>
      <c r="I30" s="4"/>
      <c r="J30" s="4"/>
      <c r="K30" s="4"/>
      <c r="L30" s="4"/>
      <c r="M30" s="4"/>
      <c r="N30" s="4"/>
      <c r="O30" s="4"/>
      <c r="S30" s="721" t="s">
        <v>426</v>
      </c>
      <c r="T30" s="721"/>
      <c r="U30" s="453"/>
      <c r="V30" s="740" t="str">
        <f>IF(TITLE_DATE_PR_CHANGE="",IF(TITLE_DATE_PR="","",TITLE_DATE_PR),TITLE_DATE_PR_CHANGE)</f>
        <v/>
      </c>
      <c r="W30" s="740"/>
      <c r="X30" s="740"/>
      <c r="Y30" s="740"/>
      <c r="Z30" s="740"/>
      <c r="AA30" s="740"/>
      <c r="AB30" s="740"/>
      <c r="AC30" s="4"/>
      <c r="AD30" s="740" t="str">
        <f>IF(TITLE_DATE_PR_CHANGE="",IF(TITLE_DATE_PR="","",TITLE_DATE_PR),TITLE_DATE_PR_CHANGE)</f>
        <v/>
      </c>
      <c r="AE30" s="740"/>
      <c r="AF30" s="740"/>
      <c r="AG30" s="740"/>
      <c r="AH30" s="740"/>
      <c r="AI30" s="740"/>
      <c r="AJ30" s="740"/>
      <c r="AK30" s="4"/>
      <c r="AL30" s="4"/>
      <c r="AM30" s="96"/>
      <c r="AN30" s="46"/>
      <c r="AO30" s="46"/>
      <c r="AP30" s="46"/>
      <c r="AQ30" s="46"/>
      <c r="AR30" s="46"/>
      <c r="AS30" s="22">
        <v>0</v>
      </c>
    </row>
    <row r="31" spans="1:45" s="22" customFormat="1" ht="18.75" hidden="1" customHeight="1">
      <c r="A31" s="4"/>
      <c r="B31" s="4"/>
      <c r="C31" s="4"/>
      <c r="D31" s="4"/>
      <c r="E31" s="4"/>
      <c r="F31" s="4"/>
      <c r="G31" s="4"/>
      <c r="H31" s="4"/>
      <c r="I31" s="4"/>
      <c r="J31" s="4"/>
      <c r="K31" s="4"/>
      <c r="L31" s="4"/>
      <c r="M31" s="4"/>
      <c r="N31" s="4"/>
      <c r="O31" s="4"/>
      <c r="S31" s="721" t="s">
        <v>427</v>
      </c>
      <c r="T31" s="721"/>
      <c r="U31" s="453"/>
      <c r="V31" s="741" t="str">
        <f>IF(TITLE_NUMBER_PR_CHANGE="",IF(TITLE_NUMBER_PR="","",TITLE_NUMBER_PR),TITLE_NUMBER_PR_CHANGE)</f>
        <v/>
      </c>
      <c r="W31" s="741"/>
      <c r="X31" s="741"/>
      <c r="Y31" s="741"/>
      <c r="Z31" s="741"/>
      <c r="AA31" s="741"/>
      <c r="AB31" s="741"/>
      <c r="AC31" s="4"/>
      <c r="AD31" s="741" t="str">
        <f>IF(TITLE_NUMBER_PR_CHANGE="",IF(TITLE_NUMBER_PR="","",TITLE_NUMBER_PR),TITLE_NUMBER_PR_CHANGE)</f>
        <v/>
      </c>
      <c r="AE31" s="741"/>
      <c r="AF31" s="741"/>
      <c r="AG31" s="741"/>
      <c r="AH31" s="741"/>
      <c r="AI31" s="741"/>
      <c r="AJ31" s="741"/>
      <c r="AK31" s="4"/>
      <c r="AL31" s="4"/>
      <c r="AM31" s="96"/>
      <c r="AN31" s="46"/>
      <c r="AO31" s="46"/>
      <c r="AP31" s="46"/>
      <c r="AQ31" s="46"/>
      <c r="AR31" s="46"/>
      <c r="AS31" s="22">
        <v>0</v>
      </c>
    </row>
    <row r="32" spans="1:45" s="22" customFormat="1" ht="18.75" hidden="1" customHeight="1">
      <c r="A32" s="4"/>
      <c r="B32" s="4"/>
      <c r="C32" s="4"/>
      <c r="D32" s="4"/>
      <c r="E32" s="4"/>
      <c r="F32" s="4"/>
      <c r="G32" s="4"/>
      <c r="H32" s="4"/>
      <c r="I32" s="4"/>
      <c r="J32" s="4"/>
      <c r="K32" s="4"/>
      <c r="L32" s="4"/>
      <c r="M32" s="4"/>
      <c r="N32" s="4"/>
      <c r="O32" s="4"/>
      <c r="S32" s="721" t="s">
        <v>43</v>
      </c>
      <c r="T32" s="721"/>
      <c r="U32" s="453"/>
      <c r="V32" s="741" t="str">
        <f>IF(TITLE_IST_PUB_CHANGE="",IF(TITLE_IST_PUB="","",TITLE_IST_PUB),TITLE_IST_PUB_CHANGE)</f>
        <v/>
      </c>
      <c r="W32" s="741"/>
      <c r="X32" s="741"/>
      <c r="Y32" s="741"/>
      <c r="Z32" s="741"/>
      <c r="AA32" s="741"/>
      <c r="AB32" s="741"/>
      <c r="AC32" s="4"/>
      <c r="AD32" s="741" t="str">
        <f>IF(TITLE_IST_PUB_CHANGE="",IF(TITLE_IST_PUB="","",TITLE_IST_PUB),TITLE_IST_PUB_CHANGE)</f>
        <v/>
      </c>
      <c r="AE32" s="741"/>
      <c r="AF32" s="741"/>
      <c r="AG32" s="741"/>
      <c r="AH32" s="741"/>
      <c r="AI32" s="741"/>
      <c r="AJ32" s="741"/>
      <c r="AK32" s="4"/>
      <c r="AL32" s="4"/>
      <c r="AM32" s="96"/>
      <c r="AN32" s="46"/>
      <c r="AO32" s="46"/>
      <c r="AP32" s="46"/>
      <c r="AQ32" s="46"/>
      <c r="AR32" s="46"/>
      <c r="AS32" s="22">
        <v>0</v>
      </c>
    </row>
    <row r="33" spans="1:45" ht="14.25" hidden="1" customHeight="1">
      <c r="Q33" s="19"/>
      <c r="R33" s="19"/>
      <c r="S33" s="6"/>
      <c r="T33" s="6"/>
      <c r="U33" s="6"/>
      <c r="V33" s="109"/>
      <c r="W33" s="109"/>
      <c r="X33" s="109"/>
      <c r="Y33" s="109"/>
      <c r="Z33" s="109"/>
      <c r="AA33" s="109"/>
      <c r="AB33" s="109"/>
      <c r="AC33" s="109"/>
      <c r="AD33" s="109"/>
      <c r="AE33" s="109"/>
      <c r="AF33" s="109"/>
      <c r="AG33" s="109"/>
      <c r="AH33" s="109"/>
      <c r="AI33" s="109"/>
      <c r="AJ33" s="109"/>
      <c r="AK33" s="109"/>
      <c r="AS33" s="4">
        <v>0</v>
      </c>
    </row>
    <row r="34" spans="1:45" s="22" customFormat="1" ht="18.75" hidden="1" customHeight="1">
      <c r="A34" s="4"/>
      <c r="B34" s="4"/>
      <c r="C34" s="4"/>
      <c r="D34" s="4"/>
      <c r="E34" s="4"/>
      <c r="F34" s="4"/>
      <c r="G34" s="4"/>
      <c r="H34" s="4"/>
      <c r="I34" s="4"/>
      <c r="J34" s="4"/>
      <c r="K34" s="4"/>
      <c r="L34" s="4"/>
      <c r="M34" s="4"/>
      <c r="N34" s="4"/>
      <c r="O34" s="4"/>
      <c r="S34" s="721" t="s">
        <v>428</v>
      </c>
      <c r="T34" s="721"/>
      <c r="U34" s="453"/>
      <c r="V34" s="740" t="str">
        <f>IF(TITLE_DATE_PR_CHANGE="",IF(TITLE_DATE_PR="","",TITLE_DATE_PR),TITLE_DATE_PR_CHANGE)</f>
        <v/>
      </c>
      <c r="W34" s="740"/>
      <c r="X34" s="740"/>
      <c r="Y34" s="740"/>
      <c r="Z34" s="740"/>
      <c r="AA34" s="740"/>
      <c r="AB34" s="740"/>
      <c r="AC34" s="4"/>
      <c r="AD34" s="740" t="str">
        <f>IF(TITLE_DATE_PR_CHANGE="",IF(TITLE_DATE_PR="","",TITLE_DATE_PR),TITLE_DATE_PR_CHANGE)</f>
        <v/>
      </c>
      <c r="AE34" s="740"/>
      <c r="AF34" s="740"/>
      <c r="AG34" s="740"/>
      <c r="AH34" s="740"/>
      <c r="AI34" s="740"/>
      <c r="AJ34" s="740"/>
      <c r="AK34" s="4"/>
      <c r="AL34" s="4"/>
      <c r="AM34" s="96"/>
      <c r="AN34" s="46"/>
      <c r="AO34" s="46"/>
      <c r="AP34" s="46"/>
      <c r="AQ34" s="46"/>
      <c r="AR34" s="46"/>
      <c r="AS34" s="22">
        <v>0</v>
      </c>
    </row>
    <row r="35" spans="1:45" s="22" customFormat="1" ht="18.75" hidden="1" customHeight="1">
      <c r="A35" s="4"/>
      <c r="B35" s="4"/>
      <c r="C35" s="4"/>
      <c r="D35" s="4"/>
      <c r="E35" s="4"/>
      <c r="F35" s="4"/>
      <c r="G35" s="4"/>
      <c r="H35" s="4"/>
      <c r="I35" s="4"/>
      <c r="J35" s="4"/>
      <c r="K35" s="4"/>
      <c r="L35" s="4"/>
      <c r="M35" s="4"/>
      <c r="N35" s="4"/>
      <c r="O35" s="4"/>
      <c r="S35" s="721" t="s">
        <v>429</v>
      </c>
      <c r="T35" s="721"/>
      <c r="U35" s="453"/>
      <c r="V35" s="741" t="str">
        <f>IF(TITLE_NUMBER_PR_CHANGE="",IF(TITLE_NUMBER_PR="","",TITLE_NUMBER_PR),TITLE_NUMBER_PR_CHANGE)</f>
        <v/>
      </c>
      <c r="W35" s="741"/>
      <c r="X35" s="741"/>
      <c r="Y35" s="741"/>
      <c r="Z35" s="741"/>
      <c r="AA35" s="741"/>
      <c r="AB35" s="741"/>
      <c r="AC35" s="4"/>
      <c r="AD35" s="741" t="str">
        <f>IF(TITLE_NUMBER_PR_CHANGE="",IF(TITLE_NUMBER_PR="","",TITLE_NUMBER_PR),TITLE_NUMBER_PR_CHANGE)</f>
        <v/>
      </c>
      <c r="AE35" s="741"/>
      <c r="AF35" s="741"/>
      <c r="AG35" s="741"/>
      <c r="AH35" s="741"/>
      <c r="AI35" s="741"/>
      <c r="AJ35" s="741"/>
      <c r="AK35" s="4"/>
      <c r="AL35" s="4"/>
      <c r="AM35" s="96"/>
      <c r="AN35" s="46"/>
      <c r="AO35" s="46"/>
      <c r="AP35" s="46"/>
      <c r="AQ35" s="46"/>
      <c r="AR35" s="46"/>
      <c r="AS35" s="22">
        <v>0</v>
      </c>
    </row>
    <row r="36" spans="1:45" s="22" customFormat="1" ht="0" hidden="1" customHeight="1">
      <c r="A36" s="4"/>
      <c r="B36" s="4"/>
      <c r="C36" s="4"/>
      <c r="D36" s="4"/>
      <c r="E36" s="4"/>
      <c r="F36" s="4"/>
      <c r="G36" s="4"/>
      <c r="H36" s="4"/>
      <c r="I36" s="4"/>
      <c r="J36" s="4"/>
      <c r="K36" s="4"/>
      <c r="L36" s="4"/>
      <c r="M36" s="4"/>
      <c r="N36" s="4"/>
      <c r="O36" s="4"/>
      <c r="S36" s="4"/>
      <c r="T36" s="4"/>
      <c r="U36" s="4"/>
      <c r="V36" s="4"/>
      <c r="W36" s="4"/>
      <c r="X36" s="4"/>
      <c r="Y36" s="4"/>
      <c r="Z36" s="4"/>
      <c r="AA36" s="4"/>
      <c r="AB36" s="4"/>
      <c r="AC36" s="46" t="s">
        <v>430</v>
      </c>
      <c r="AD36" s="4"/>
      <c r="AE36" s="4"/>
      <c r="AF36" s="4"/>
      <c r="AG36" s="4"/>
      <c r="AH36" s="4"/>
      <c r="AI36" s="4"/>
      <c r="AJ36" s="4"/>
      <c r="AK36" s="46" t="s">
        <v>430</v>
      </c>
      <c r="AN36" s="46"/>
      <c r="AO36" s="46"/>
      <c r="AP36" s="46"/>
      <c r="AQ36" s="46"/>
      <c r="AR36" s="46"/>
      <c r="AS36" s="22">
        <v>0</v>
      </c>
    </row>
    <row r="37" spans="1:45" ht="14.65" customHeight="1">
      <c r="Q37" s="19"/>
      <c r="R37" s="19"/>
      <c r="S37" s="6"/>
      <c r="T37" s="6"/>
      <c r="U37" s="420"/>
      <c r="V37" s="755"/>
      <c r="W37" s="755"/>
      <c r="X37" s="755"/>
      <c r="Y37" s="755"/>
      <c r="Z37" s="755"/>
      <c r="AA37" s="755"/>
      <c r="AB37" s="755"/>
      <c r="AC37" s="755"/>
      <c r="AD37" s="755"/>
      <c r="AE37" s="755"/>
      <c r="AF37" s="755"/>
      <c r="AG37" s="755"/>
      <c r="AH37" s="755"/>
      <c r="AI37" s="755"/>
      <c r="AJ37" s="755"/>
      <c r="AK37" s="755"/>
      <c r="AS37" s="4">
        <v>14</v>
      </c>
    </row>
    <row r="38" spans="1:45" ht="14.65" customHeight="1">
      <c r="Q38" s="19"/>
      <c r="R38" s="19"/>
      <c r="S38" s="679" t="s">
        <v>303</v>
      </c>
      <c r="T38" s="679"/>
      <c r="U38" s="679"/>
      <c r="V38" s="679"/>
      <c r="W38" s="679"/>
      <c r="X38" s="679"/>
      <c r="Y38" s="679"/>
      <c r="Z38" s="679"/>
      <c r="AA38" s="679"/>
      <c r="AB38" s="679"/>
      <c r="AC38" s="679"/>
      <c r="AD38" s="679"/>
      <c r="AE38" s="679"/>
      <c r="AF38" s="679"/>
      <c r="AG38" s="679"/>
      <c r="AH38" s="679"/>
      <c r="AI38" s="679"/>
      <c r="AJ38" s="679"/>
      <c r="AK38" s="679"/>
      <c r="AL38" s="679"/>
      <c r="AM38" s="679" t="s">
        <v>304</v>
      </c>
      <c r="AS38" s="4">
        <v>14</v>
      </c>
    </row>
    <row r="39" spans="1:45" ht="14.65" customHeight="1">
      <c r="Q39" s="19"/>
      <c r="R39" s="19"/>
      <c r="S39" s="722" t="s">
        <v>88</v>
      </c>
      <c r="T39" s="722" t="s">
        <v>431</v>
      </c>
      <c r="U39" s="100"/>
      <c r="V39" s="756" t="s">
        <v>432</v>
      </c>
      <c r="W39" s="757"/>
      <c r="X39" s="757"/>
      <c r="Y39" s="757"/>
      <c r="Z39" s="757"/>
      <c r="AA39" s="757"/>
      <c r="AB39" s="758"/>
      <c r="AC39" s="724" t="s">
        <v>433</v>
      </c>
      <c r="AD39" s="756" t="s">
        <v>432</v>
      </c>
      <c r="AE39" s="757"/>
      <c r="AF39" s="757"/>
      <c r="AG39" s="757"/>
      <c r="AH39" s="757"/>
      <c r="AI39" s="757"/>
      <c r="AJ39" s="758"/>
      <c r="AK39" s="724" t="s">
        <v>434</v>
      </c>
      <c r="AL39" s="759" t="s">
        <v>435</v>
      </c>
      <c r="AM39" s="679"/>
      <c r="AS39" s="4">
        <v>14</v>
      </c>
    </row>
    <row r="40" spans="1:45" ht="35.65" customHeight="1">
      <c r="Q40" s="19"/>
      <c r="R40" s="19"/>
      <c r="S40" s="722"/>
      <c r="T40" s="722"/>
      <c r="U40" s="349"/>
      <c r="V40" s="673" t="s">
        <v>436</v>
      </c>
      <c r="W40" s="752" t="s">
        <v>437</v>
      </c>
      <c r="X40" s="662" t="s">
        <v>438</v>
      </c>
      <c r="Y40" s="661"/>
      <c r="Z40" s="662" t="s">
        <v>452</v>
      </c>
      <c r="AA40" s="666"/>
      <c r="AB40" s="661"/>
      <c r="AC40" s="725"/>
      <c r="AD40" s="673" t="s">
        <v>436</v>
      </c>
      <c r="AE40" s="752" t="s">
        <v>437</v>
      </c>
      <c r="AF40" s="662" t="s">
        <v>438</v>
      </c>
      <c r="AG40" s="661"/>
      <c r="AH40" s="662" t="s">
        <v>439</v>
      </c>
      <c r="AI40" s="666"/>
      <c r="AJ40" s="661"/>
      <c r="AK40" s="725"/>
      <c r="AL40" s="760"/>
      <c r="AM40" s="679"/>
      <c r="AS40" s="4">
        <v>34</v>
      </c>
    </row>
    <row r="41" spans="1:45" ht="35.65" customHeight="1">
      <c r="B41" s="4" t="s">
        <v>140</v>
      </c>
      <c r="C41" s="4" t="s">
        <v>141</v>
      </c>
      <c r="D41" s="4" t="s">
        <v>142</v>
      </c>
      <c r="E41" s="4" t="s">
        <v>440</v>
      </c>
      <c r="F41" s="4" t="s">
        <v>441</v>
      </c>
      <c r="G41" s="4" t="s">
        <v>442</v>
      </c>
      <c r="H41" s="4" t="s">
        <v>443</v>
      </c>
      <c r="I41" s="4" t="s">
        <v>444</v>
      </c>
      <c r="J41" s="4" t="s">
        <v>445</v>
      </c>
      <c r="K41" s="4" t="s">
        <v>446</v>
      </c>
      <c r="L41" s="4" t="s">
        <v>421</v>
      </c>
      <c r="Q41" s="19"/>
      <c r="R41" s="19"/>
      <c r="S41" s="722"/>
      <c r="T41" s="722"/>
      <c r="U41" s="101"/>
      <c r="V41" s="676"/>
      <c r="W41" s="753"/>
      <c r="X41" s="27" t="s">
        <v>447</v>
      </c>
      <c r="Y41" s="27" t="s">
        <v>448</v>
      </c>
      <c r="Z41" s="27" t="s">
        <v>449</v>
      </c>
      <c r="AA41" s="728" t="s">
        <v>450</v>
      </c>
      <c r="AB41" s="734"/>
      <c r="AC41" s="726"/>
      <c r="AD41" s="676"/>
      <c r="AE41" s="753"/>
      <c r="AF41" s="27" t="s">
        <v>447</v>
      </c>
      <c r="AG41" s="27" t="s">
        <v>448</v>
      </c>
      <c r="AH41" s="27" t="s">
        <v>449</v>
      </c>
      <c r="AI41" s="728" t="s">
        <v>450</v>
      </c>
      <c r="AJ41" s="734"/>
      <c r="AK41" s="726"/>
      <c r="AL41" s="761"/>
      <c r="AM41" s="679"/>
      <c r="AS41" s="4">
        <v>34</v>
      </c>
    </row>
    <row r="42" spans="1:45" s="117" customFormat="1" ht="11.25" hidden="1" customHeight="1">
      <c r="A42" s="4"/>
      <c r="B42" s="4"/>
      <c r="C42" s="4"/>
      <c r="D42" s="4"/>
      <c r="E42" s="4"/>
      <c r="F42" s="4"/>
      <c r="G42" s="4"/>
      <c r="H42" s="4"/>
      <c r="I42" s="4"/>
      <c r="J42" s="4"/>
      <c r="K42" s="4"/>
      <c r="L42" s="4"/>
      <c r="M42" s="23"/>
      <c r="N42" s="23"/>
      <c r="O42" s="23"/>
      <c r="P42" s="178"/>
      <c r="Q42" s="422"/>
      <c r="R42" s="424">
        <v>1</v>
      </c>
      <c r="S42" s="425" t="s">
        <v>110</v>
      </c>
      <c r="T42" s="425" t="s">
        <v>111</v>
      </c>
      <c r="U42" s="421" t="str">
        <f ca="1">OFFSET(U42,0,-1)</f>
        <v>2</v>
      </c>
      <c r="V42" s="426">
        <f ca="1">OFFSET(V42,0,-1)+1</f>
        <v>3</v>
      </c>
      <c r="W42" s="426"/>
      <c r="X42" s="426">
        <f ca="1">OFFSET(X42,0,-1)+1</f>
        <v>1</v>
      </c>
      <c r="Y42" s="426">
        <f ca="1">OFFSET(Y42,0,-1)+1</f>
        <v>2</v>
      </c>
      <c r="Z42" s="426">
        <f ca="1">OFFSET(Z42,0,-1)+1</f>
        <v>3</v>
      </c>
      <c r="AA42" s="754">
        <f ca="1">OFFSET(AA42,0,-1)+1</f>
        <v>4</v>
      </c>
      <c r="AB42" s="754"/>
      <c r="AC42" s="426">
        <f ca="1">OFFSET(AC42,0,-2)+1</f>
        <v>5</v>
      </c>
      <c r="AD42" s="426">
        <f ca="1">OFFSET(AD42,0,-1)+1</f>
        <v>6</v>
      </c>
      <c r="AE42" s="426"/>
      <c r="AF42" s="426">
        <f ca="1">OFFSET(AF42,0,-1)+1</f>
        <v>1</v>
      </c>
      <c r="AG42" s="426">
        <f ca="1">OFFSET(AG42,0,-1)+1</f>
        <v>2</v>
      </c>
      <c r="AH42" s="426">
        <f ca="1">OFFSET(AH42,0,-1)+1</f>
        <v>3</v>
      </c>
      <c r="AI42" s="754">
        <f ca="1">OFFSET(AI42,0,-1)+1</f>
        <v>4</v>
      </c>
      <c r="AJ42" s="754"/>
      <c r="AK42" s="426">
        <f ca="1">OFFSET(AK42,0,-2)+1</f>
        <v>5</v>
      </c>
      <c r="AL42" s="421">
        <f ca="1">OFFSET(AL42,0,-1)</f>
        <v>5</v>
      </c>
      <c r="AM42" s="426">
        <f ca="1">OFFSET(AM42,0,-1)+1</f>
        <v>6</v>
      </c>
      <c r="AN42" s="46"/>
      <c r="AO42" s="46"/>
      <c r="AP42" s="46"/>
      <c r="AQ42" s="46"/>
      <c r="AR42" s="46"/>
      <c r="AS42" s="117">
        <v>0</v>
      </c>
    </row>
    <row r="43" spans="1:45" ht="21.95" customHeight="1">
      <c r="A43" s="4" t="s">
        <v>215</v>
      </c>
      <c r="E43" s="679">
        <v>1</v>
      </c>
      <c r="M43" s="4"/>
      <c r="N43" s="4"/>
      <c r="O43" s="4"/>
      <c r="Q43" s="4"/>
      <c r="R43" s="119"/>
      <c r="S43" s="24">
        <f>INDEX(PT_DIFFERENTIATION_NUM_NTAR,MATCH(A43,PT_DIFFERENTIATION_NTAR_ID,0))</f>
        <v>0</v>
      </c>
      <c r="T43" s="29" t="s">
        <v>128</v>
      </c>
      <c r="U43" s="29"/>
      <c r="V43" s="742"/>
      <c r="W43" s="743"/>
      <c r="X43" s="743"/>
      <c r="Y43" s="743"/>
      <c r="Z43" s="743"/>
      <c r="AA43" s="743"/>
      <c r="AB43" s="743"/>
      <c r="AC43" s="744"/>
      <c r="AD43" s="742" t="str">
        <f>INDEX(PT_DIFFERENTIATION_NTAR,MATCH(A43,PT_DIFFERENTIATION_NTAR_ID,0))</f>
        <v/>
      </c>
      <c r="AE43" s="743"/>
      <c r="AF43" s="743"/>
      <c r="AG43" s="743"/>
      <c r="AH43" s="743"/>
      <c r="AI43" s="743"/>
      <c r="AJ43" s="743"/>
      <c r="AK43" s="743"/>
      <c r="AL43" s="744"/>
      <c r="AM43" s="42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P43" s="46" t="str">
        <f t="shared" ref="AP43:AP57" si="1">IF(T43="","",T43)</f>
        <v>Наименование тарифа</v>
      </c>
      <c r="AS43" s="4">
        <v>21</v>
      </c>
    </row>
    <row r="44" spans="1:45" ht="21.95" customHeight="1">
      <c r="A44" s="4" t="s">
        <v>215</v>
      </c>
      <c r="B44" s="4" t="s">
        <v>216</v>
      </c>
      <c r="E44" s="662"/>
      <c r="F44" s="679">
        <v>1</v>
      </c>
      <c r="M44" s="4"/>
      <c r="N44" s="4"/>
      <c r="O44" s="4"/>
      <c r="P44" s="4"/>
      <c r="Q44" s="118"/>
      <c r="R44" s="119"/>
      <c r="S44" s="24" t="str">
        <f>INDEX(PT_DIFFERENTIATION_NUM_TER,MATCH(B44,PT_DIFFERENTIATION_TER_ID,0))</f>
        <v>.</v>
      </c>
      <c r="T44" s="24" t="s">
        <v>400</v>
      </c>
      <c r="U44" s="29"/>
      <c r="V44" s="742"/>
      <c r="W44" s="743"/>
      <c r="X44" s="743"/>
      <c r="Y44" s="743"/>
      <c r="Z44" s="743"/>
      <c r="AA44" s="743"/>
      <c r="AB44" s="743"/>
      <c r="AC44" s="744"/>
      <c r="AD44" s="742" t="str">
        <f>INDEX(PT_DIFFERENTIATION_TER,MATCH(B44,PT_DIFFERENTIATION_TER_ID,0))</f>
        <v/>
      </c>
      <c r="AE44" s="743"/>
      <c r="AF44" s="743"/>
      <c r="AG44" s="743"/>
      <c r="AH44" s="743"/>
      <c r="AI44" s="743"/>
      <c r="AJ44" s="743"/>
      <c r="AK44" s="743"/>
      <c r="AL44" s="744"/>
      <c r="AM44" s="428" t="s">
        <v>401</v>
      </c>
      <c r="AP44" s="46" t="str">
        <f t="shared" si="1"/>
        <v>Территория действия тарифа</v>
      </c>
      <c r="AS44" s="4">
        <v>21</v>
      </c>
    </row>
    <row r="45" spans="1:45" ht="24" customHeight="1">
      <c r="A45" s="4" t="s">
        <v>215</v>
      </c>
      <c r="B45" s="4" t="s">
        <v>216</v>
      </c>
      <c r="C45" s="4" t="s">
        <v>217</v>
      </c>
      <c r="E45" s="662"/>
      <c r="F45" s="662"/>
      <c r="G45" s="679">
        <v>1</v>
      </c>
      <c r="M45" s="4"/>
      <c r="N45" s="4"/>
      <c r="O45" s="4"/>
      <c r="P45" s="16"/>
      <c r="Q45" s="118"/>
      <c r="R45" s="119"/>
      <c r="S45" s="24" t="str">
        <f>INDEX(PT_DIFFERENTIATION_NUM_CS,MATCH(C45,PT_DIFFERENTIATION_CS_ID,0))</f>
        <v>..</v>
      </c>
      <c r="T45" s="24" t="s">
        <v>402</v>
      </c>
      <c r="U45" s="29"/>
      <c r="V45" s="742"/>
      <c r="W45" s="743"/>
      <c r="X45" s="743"/>
      <c r="Y45" s="743"/>
      <c r="Z45" s="743"/>
      <c r="AA45" s="743"/>
      <c r="AB45" s="743"/>
      <c r="AC45" s="744"/>
      <c r="AD45" s="742" t="str">
        <f>INDEX(PT_DIFFERENTIATION_CS,MATCH(C45,PT_DIFFERENTIATION_CS_ID,0))</f>
        <v/>
      </c>
      <c r="AE45" s="743"/>
      <c r="AF45" s="743"/>
      <c r="AG45" s="743"/>
      <c r="AH45" s="743"/>
      <c r="AI45" s="743"/>
      <c r="AJ45" s="743"/>
      <c r="AK45" s="743"/>
      <c r="AL45" s="744"/>
      <c r="AM45" s="428" t="s">
        <v>403</v>
      </c>
      <c r="AP45" s="46" t="str">
        <f t="shared" si="1"/>
        <v xml:space="preserve">Наименование системы теплоснабжения </v>
      </c>
      <c r="AS45" s="4">
        <v>23</v>
      </c>
    </row>
    <row r="46" spans="1:45" ht="21.95" customHeight="1">
      <c r="A46" s="4" t="s">
        <v>215</v>
      </c>
      <c r="B46" s="4" t="s">
        <v>216</v>
      </c>
      <c r="C46" s="4" t="s">
        <v>217</v>
      </c>
      <c r="D46" s="4" t="s">
        <v>218</v>
      </c>
      <c r="E46" s="662"/>
      <c r="F46" s="662"/>
      <c r="G46" s="662"/>
      <c r="H46" s="679">
        <v>1</v>
      </c>
      <c r="M46" s="4"/>
      <c r="N46" s="4"/>
      <c r="O46" s="4"/>
      <c r="P46" s="16"/>
      <c r="Q46" s="118"/>
      <c r="R46" s="119"/>
      <c r="S46" s="24" t="str">
        <f>INDEX(PT_DIFFERENTIATION_NUM_IST_TE,MATCH(D46,PT_DIFFERENTIATION_IST_TE_ID,0))</f>
        <v>...</v>
      </c>
      <c r="T46" s="24" t="s">
        <v>404</v>
      </c>
      <c r="U46" s="29"/>
      <c r="V46" s="742"/>
      <c r="W46" s="743"/>
      <c r="X46" s="743"/>
      <c r="Y46" s="743"/>
      <c r="Z46" s="743"/>
      <c r="AA46" s="743"/>
      <c r="AB46" s="743"/>
      <c r="AC46" s="744"/>
      <c r="AD46" s="742" t="str">
        <f>INDEX(PT_DIFFERENTIATION_IST_TE,MATCH(D46,PT_DIFFERENTIATION_IST_TE_ID,0))</f>
        <v/>
      </c>
      <c r="AE46" s="743"/>
      <c r="AF46" s="743"/>
      <c r="AG46" s="743"/>
      <c r="AH46" s="743"/>
      <c r="AI46" s="743"/>
      <c r="AJ46" s="743"/>
      <c r="AK46" s="743"/>
      <c r="AL46" s="744"/>
      <c r="AM46" s="428" t="s">
        <v>405</v>
      </c>
      <c r="AP46" s="46" t="str">
        <f t="shared" si="1"/>
        <v xml:space="preserve">Источник тепловой энергии  </v>
      </c>
      <c r="AS46" s="4">
        <v>21</v>
      </c>
    </row>
    <row r="47" spans="1:45" ht="49.5" customHeight="1">
      <c r="A47" s="4" t="s">
        <v>215</v>
      </c>
      <c r="B47" s="4" t="s">
        <v>216</v>
      </c>
      <c r="C47" s="4" t="s">
        <v>217</v>
      </c>
      <c r="D47" s="4" t="s">
        <v>218</v>
      </c>
      <c r="E47" s="662"/>
      <c r="F47" s="662"/>
      <c r="G47" s="662"/>
      <c r="H47" s="662"/>
      <c r="I47" s="679" t="str">
        <f>S46&amp;".1"</f>
        <v>....1</v>
      </c>
      <c r="L47" s="4" t="s">
        <v>406</v>
      </c>
      <c r="P47" s="748">
        <v>1</v>
      </c>
      <c r="Q47" s="46"/>
      <c r="R47" s="120"/>
      <c r="S47" s="24" t="str">
        <f>$I47</f>
        <v>....1</v>
      </c>
      <c r="T47" s="24" t="s">
        <v>407</v>
      </c>
      <c r="U47" s="29"/>
      <c r="V47" s="737"/>
      <c r="W47" s="738"/>
      <c r="X47" s="738"/>
      <c r="Y47" s="738"/>
      <c r="Z47" s="738"/>
      <c r="AA47" s="738"/>
      <c r="AB47" s="738"/>
      <c r="AC47" s="739"/>
      <c r="AD47" s="737"/>
      <c r="AE47" s="738"/>
      <c r="AF47" s="738"/>
      <c r="AG47" s="738"/>
      <c r="AH47" s="738"/>
      <c r="AI47" s="738"/>
      <c r="AJ47" s="738"/>
      <c r="AK47" s="738"/>
      <c r="AL47" s="739"/>
      <c r="AM47" s="428" t="s">
        <v>408</v>
      </c>
      <c r="AP47" s="46" t="str">
        <f t="shared" si="1"/>
        <v>Схема подключения теплопотребляющей установки к коллектору источника тепловой энергии</v>
      </c>
      <c r="AS47" s="4">
        <v>47</v>
      </c>
    </row>
    <row r="48" spans="1:45" ht="21.95" customHeight="1">
      <c r="A48" s="4" t="s">
        <v>215</v>
      </c>
      <c r="B48" s="4" t="s">
        <v>216</v>
      </c>
      <c r="C48" s="4" t="s">
        <v>217</v>
      </c>
      <c r="D48" s="4" t="s">
        <v>218</v>
      </c>
      <c r="E48" s="662"/>
      <c r="F48" s="662"/>
      <c r="G48" s="662"/>
      <c r="H48" s="662"/>
      <c r="I48" s="662"/>
      <c r="J48" s="679" t="str">
        <f>I47&amp;".1"</f>
        <v>....1.1</v>
      </c>
      <c r="L48" s="4" t="s">
        <v>409</v>
      </c>
      <c r="P48" s="748"/>
      <c r="Q48" s="748">
        <v>1</v>
      </c>
      <c r="R48" s="120"/>
      <c r="S48" s="24" t="str">
        <f>$J48</f>
        <v>....1.1</v>
      </c>
      <c r="T48" s="24" t="s">
        <v>410</v>
      </c>
      <c r="U48" s="29"/>
      <c r="V48" s="737"/>
      <c r="W48" s="738"/>
      <c r="X48" s="738"/>
      <c r="Y48" s="738"/>
      <c r="Z48" s="738"/>
      <c r="AA48" s="738"/>
      <c r="AB48" s="738"/>
      <c r="AC48" s="739"/>
      <c r="AD48" s="737"/>
      <c r="AE48" s="738"/>
      <c r="AF48" s="738"/>
      <c r="AG48" s="738"/>
      <c r="AH48" s="738"/>
      <c r="AI48" s="738"/>
      <c r="AJ48" s="738"/>
      <c r="AK48" s="738"/>
      <c r="AL48" s="739"/>
      <c r="AM48" s="428" t="s">
        <v>411</v>
      </c>
      <c r="AP48" s="46" t="str">
        <f t="shared" si="1"/>
        <v>Группа потребителей</v>
      </c>
      <c r="AS48" s="4">
        <v>21</v>
      </c>
    </row>
    <row r="49" spans="1:45" ht="21.95" customHeight="1">
      <c r="A49" s="4" t="s">
        <v>215</v>
      </c>
      <c r="B49" s="4" t="s">
        <v>216</v>
      </c>
      <c r="C49" s="4" t="s">
        <v>217</v>
      </c>
      <c r="D49" s="4" t="s">
        <v>218</v>
      </c>
      <c r="E49" s="662"/>
      <c r="F49" s="662"/>
      <c r="G49" s="662"/>
      <c r="H49" s="662"/>
      <c r="I49" s="662"/>
      <c r="J49" s="662"/>
      <c r="K49" s="679" t="str">
        <f>J48&amp;".1"</f>
        <v>....1.1.1</v>
      </c>
      <c r="L49" s="4" t="s">
        <v>412</v>
      </c>
      <c r="P49" s="748"/>
      <c r="Q49" s="748"/>
      <c r="R49" s="120">
        <v>1</v>
      </c>
      <c r="S49" s="24" t="str">
        <f>$K49</f>
        <v>....1.1.1</v>
      </c>
      <c r="T49" s="356"/>
      <c r="U49" s="29"/>
      <c r="V49" s="168"/>
      <c r="W49" s="110"/>
      <c r="X49" s="168"/>
      <c r="Y49" s="427"/>
      <c r="Z49" s="749"/>
      <c r="AA49" s="688" t="s">
        <v>66</v>
      </c>
      <c r="AB49" s="749"/>
      <c r="AC49" s="688" t="s">
        <v>66</v>
      </c>
      <c r="AD49" s="168"/>
      <c r="AE49" s="110"/>
      <c r="AF49" s="168"/>
      <c r="AG49" s="427"/>
      <c r="AH49" s="749"/>
      <c r="AI49" s="688" t="s">
        <v>66</v>
      </c>
      <c r="AJ49" s="750"/>
      <c r="AK49" s="688" t="s">
        <v>66</v>
      </c>
      <c r="AL49" s="345"/>
      <c r="AM49" s="762" t="s">
        <v>413</v>
      </c>
      <c r="AN49" s="46" t="e">
        <f ca="1">STRCHECKDATE(V50:AL50)</f>
        <v>#NAME?</v>
      </c>
      <c r="AP49" s="46" t="str">
        <f t="shared" si="1"/>
        <v/>
      </c>
      <c r="AS49" s="4">
        <v>21</v>
      </c>
    </row>
    <row r="50" spans="1:45" ht="1.1499999999999999" customHeight="1">
      <c r="A50" s="4" t="s">
        <v>215</v>
      </c>
      <c r="B50" s="4" t="s">
        <v>216</v>
      </c>
      <c r="C50" s="4" t="s">
        <v>217</v>
      </c>
      <c r="D50" s="4" t="s">
        <v>218</v>
      </c>
      <c r="E50" s="662"/>
      <c r="F50" s="662"/>
      <c r="G50" s="662"/>
      <c r="H50" s="662"/>
      <c r="I50" s="662"/>
      <c r="J50" s="662"/>
      <c r="K50" s="679"/>
      <c r="P50" s="748"/>
      <c r="Q50" s="748"/>
      <c r="R50" s="120"/>
      <c r="S50" s="31"/>
      <c r="T50" s="29"/>
      <c r="U50" s="29"/>
      <c r="V50" s="110"/>
      <c r="W50" s="110"/>
      <c r="X50" s="110"/>
      <c r="Y50" s="111" t="str">
        <f>Z49&amp;"-"&amp;AB49</f>
        <v>-</v>
      </c>
      <c r="Z50" s="707"/>
      <c r="AA50" s="688"/>
      <c r="AB50" s="707"/>
      <c r="AC50" s="688"/>
      <c r="AD50" s="110"/>
      <c r="AE50" s="110"/>
      <c r="AF50" s="110"/>
      <c r="AG50" s="111" t="str">
        <f>AH49&amp;"-"&amp;AJ49</f>
        <v>-</v>
      </c>
      <c r="AH50" s="707"/>
      <c r="AI50" s="688"/>
      <c r="AJ50" s="751"/>
      <c r="AK50" s="688"/>
      <c r="AL50" s="450"/>
      <c r="AM50" s="763"/>
      <c r="AP50" s="46" t="str">
        <f t="shared" si="1"/>
        <v/>
      </c>
      <c r="AS50" s="4">
        <v>1</v>
      </c>
    </row>
    <row r="51" spans="1:45" ht="11.45" customHeight="1">
      <c r="A51" s="4" t="s">
        <v>215</v>
      </c>
      <c r="B51" s="4" t="s">
        <v>216</v>
      </c>
      <c r="C51" s="4" t="s">
        <v>217</v>
      </c>
      <c r="D51" s="4" t="s">
        <v>218</v>
      </c>
      <c r="E51" s="662"/>
      <c r="F51" s="662"/>
      <c r="G51" s="662"/>
      <c r="H51" s="662"/>
      <c r="I51" s="662"/>
      <c r="J51" s="679"/>
      <c r="P51" s="748"/>
      <c r="Q51" s="748"/>
      <c r="R51" s="120"/>
      <c r="S51" s="434"/>
      <c r="T51" s="37" t="s">
        <v>414</v>
      </c>
      <c r="U51" s="58"/>
      <c r="V51" s="58"/>
      <c r="W51" s="58"/>
      <c r="X51" s="58"/>
      <c r="Y51" s="58"/>
      <c r="Z51" s="58"/>
      <c r="AA51" s="58"/>
      <c r="AB51" s="58"/>
      <c r="AC51" s="58"/>
      <c r="AD51" s="58"/>
      <c r="AE51" s="58"/>
      <c r="AF51" s="58"/>
      <c r="AG51" s="58"/>
      <c r="AH51" s="58"/>
      <c r="AI51" s="58"/>
      <c r="AJ51" s="58"/>
      <c r="AK51" s="58"/>
      <c r="AL51" s="59"/>
      <c r="AM51" s="764"/>
      <c r="AP51" s="46" t="str">
        <f t="shared" si="1"/>
        <v>Добавить вид теплоносителя (параметры теплоносителя)</v>
      </c>
      <c r="AS51" s="4">
        <v>11</v>
      </c>
    </row>
    <row r="52" spans="1:45" ht="11.45" customHeight="1">
      <c r="A52" s="4" t="s">
        <v>215</v>
      </c>
      <c r="B52" s="4" t="s">
        <v>216</v>
      </c>
      <c r="C52" s="4" t="s">
        <v>217</v>
      </c>
      <c r="D52" s="4" t="s">
        <v>218</v>
      </c>
      <c r="E52" s="662"/>
      <c r="F52" s="662"/>
      <c r="G52" s="662"/>
      <c r="H52" s="662"/>
      <c r="I52" s="679"/>
      <c r="P52" s="748"/>
      <c r="Q52" s="46"/>
      <c r="R52" s="120"/>
      <c r="S52" s="434"/>
      <c r="T52" s="37" t="s">
        <v>415</v>
      </c>
      <c r="U52" s="58"/>
      <c r="V52" s="58"/>
      <c r="W52" s="58"/>
      <c r="X52" s="58"/>
      <c r="Y52" s="58"/>
      <c r="Z52" s="58"/>
      <c r="AA52" s="58"/>
      <c r="AB52" s="58"/>
      <c r="AC52" s="54"/>
      <c r="AD52" s="58"/>
      <c r="AE52" s="58"/>
      <c r="AF52" s="58"/>
      <c r="AG52" s="58"/>
      <c r="AH52" s="58"/>
      <c r="AI52" s="58"/>
      <c r="AJ52" s="58"/>
      <c r="AK52" s="54"/>
      <c r="AL52" s="58"/>
      <c r="AM52" s="102"/>
      <c r="AP52" s="46" t="str">
        <f t="shared" si="1"/>
        <v>Добавить группу потребителей</v>
      </c>
      <c r="AS52" s="4">
        <v>11</v>
      </c>
    </row>
    <row r="53" spans="1:45" ht="14.65" customHeight="1">
      <c r="A53" s="4" t="s">
        <v>215</v>
      </c>
      <c r="B53" s="4" t="s">
        <v>216</v>
      </c>
      <c r="C53" s="4" t="s">
        <v>217</v>
      </c>
      <c r="D53" s="4" t="s">
        <v>218</v>
      </c>
      <c r="E53" s="662"/>
      <c r="F53" s="662"/>
      <c r="G53" s="662"/>
      <c r="H53" s="679"/>
      <c r="M53" s="4"/>
      <c r="N53" s="4"/>
      <c r="O53" s="4"/>
      <c r="P53" s="4"/>
      <c r="R53" s="119"/>
      <c r="S53" s="434"/>
      <c r="T53" s="37" t="s">
        <v>416</v>
      </c>
      <c r="U53" s="58"/>
      <c r="V53" s="58"/>
      <c r="W53" s="58"/>
      <c r="X53" s="58"/>
      <c r="Y53" s="58"/>
      <c r="Z53" s="58"/>
      <c r="AA53" s="58"/>
      <c r="AB53" s="58"/>
      <c r="AC53" s="54"/>
      <c r="AD53" s="58"/>
      <c r="AE53" s="58"/>
      <c r="AF53" s="58"/>
      <c r="AG53" s="58"/>
      <c r="AH53" s="58"/>
      <c r="AI53" s="58"/>
      <c r="AJ53" s="58"/>
      <c r="AK53" s="54"/>
      <c r="AL53" s="58"/>
      <c r="AM53" s="102"/>
      <c r="AP53" s="46" t="str">
        <f t="shared" si="1"/>
        <v>Добавить схему подключения</v>
      </c>
      <c r="AS53" s="4">
        <v>14</v>
      </c>
    </row>
    <row r="54" spans="1:45" s="46" customFormat="1" ht="4.1500000000000004" customHeight="1">
      <c r="A54" s="117" t="s">
        <v>215</v>
      </c>
      <c r="B54" s="117" t="s">
        <v>216</v>
      </c>
      <c r="C54" s="117" t="s">
        <v>217</v>
      </c>
      <c r="D54" s="117"/>
      <c r="E54" s="662"/>
      <c r="F54" s="662"/>
      <c r="G54" s="679"/>
      <c r="H54" s="117"/>
      <c r="I54" s="117"/>
      <c r="J54" s="117"/>
      <c r="K54" s="117"/>
      <c r="L54" s="117"/>
      <c r="M54" s="117"/>
      <c r="N54" s="117"/>
      <c r="O54" s="117"/>
      <c r="Q54" s="446"/>
      <c r="S54" s="449"/>
      <c r="T54" s="160" t="s">
        <v>417</v>
      </c>
      <c r="U54" s="160"/>
      <c r="V54" s="160"/>
      <c r="W54" s="160"/>
      <c r="X54" s="160"/>
      <c r="Y54" s="160"/>
      <c r="Z54" s="160"/>
      <c r="AA54" s="160"/>
      <c r="AB54" s="160"/>
      <c r="AC54" s="160"/>
      <c r="AD54" s="160"/>
      <c r="AE54" s="160"/>
      <c r="AF54" s="160"/>
      <c r="AG54" s="160"/>
      <c r="AH54" s="160"/>
      <c r="AI54" s="160"/>
      <c r="AJ54" s="160"/>
      <c r="AK54" s="160"/>
      <c r="AL54" s="160"/>
      <c r="AM54" s="160"/>
      <c r="AP54" s="46" t="str">
        <f t="shared" si="1"/>
        <v>Добавить источник для дифференциации</v>
      </c>
      <c r="AS54" s="46">
        <v>4</v>
      </c>
    </row>
    <row r="55" spans="1:45" s="46" customFormat="1" ht="4.1500000000000004" customHeight="1">
      <c r="A55" s="117" t="s">
        <v>215</v>
      </c>
      <c r="B55" s="117" t="s">
        <v>216</v>
      </c>
      <c r="C55" s="117"/>
      <c r="D55" s="117"/>
      <c r="E55" s="662"/>
      <c r="F55" s="679"/>
      <c r="G55" s="117"/>
      <c r="H55" s="117"/>
      <c r="I55" s="117"/>
      <c r="J55" s="117"/>
      <c r="K55" s="117"/>
      <c r="L55" s="117"/>
      <c r="M55" s="178"/>
      <c r="N55" s="178"/>
      <c r="O55" s="117"/>
      <c r="Q55" s="446"/>
      <c r="S55" s="449"/>
      <c r="T55" s="160" t="s">
        <v>418</v>
      </c>
      <c r="U55" s="160"/>
      <c r="V55" s="160"/>
      <c r="W55" s="160"/>
      <c r="X55" s="160"/>
      <c r="Y55" s="160"/>
      <c r="Z55" s="160"/>
      <c r="AA55" s="160"/>
      <c r="AB55" s="160"/>
      <c r="AC55" s="160"/>
      <c r="AD55" s="160"/>
      <c r="AE55" s="160"/>
      <c r="AF55" s="160"/>
      <c r="AG55" s="160"/>
      <c r="AH55" s="160"/>
      <c r="AI55" s="160"/>
      <c r="AJ55" s="160"/>
      <c r="AK55" s="160"/>
      <c r="AL55" s="160"/>
      <c r="AM55" s="160"/>
      <c r="AP55" s="46" t="str">
        <f t="shared" si="1"/>
        <v>Добавить централизованную систему для дифференциации</v>
      </c>
      <c r="AS55" s="46">
        <v>4</v>
      </c>
    </row>
    <row r="56" spans="1:45" s="46" customFormat="1" ht="4.1500000000000004" customHeight="1">
      <c r="A56" s="117" t="s">
        <v>215</v>
      </c>
      <c r="B56" s="117"/>
      <c r="C56" s="117"/>
      <c r="D56" s="117"/>
      <c r="E56" s="679"/>
      <c r="F56" s="117"/>
      <c r="G56" s="117"/>
      <c r="H56" s="117"/>
      <c r="I56" s="117"/>
      <c r="J56" s="117"/>
      <c r="K56" s="117"/>
      <c r="L56" s="117"/>
      <c r="M56" s="178"/>
      <c r="N56" s="178"/>
      <c r="O56" s="117"/>
      <c r="Q56" s="446"/>
      <c r="S56" s="449"/>
      <c r="T56" s="160" t="s">
        <v>419</v>
      </c>
      <c r="U56" s="160"/>
      <c r="V56" s="160"/>
      <c r="W56" s="160"/>
      <c r="X56" s="160"/>
      <c r="Y56" s="160"/>
      <c r="Z56" s="160"/>
      <c r="AA56" s="160"/>
      <c r="AB56" s="160"/>
      <c r="AC56" s="160"/>
      <c r="AD56" s="160"/>
      <c r="AE56" s="160"/>
      <c r="AF56" s="160"/>
      <c r="AG56" s="160"/>
      <c r="AH56" s="160"/>
      <c r="AI56" s="160"/>
      <c r="AJ56" s="160"/>
      <c r="AK56" s="160"/>
      <c r="AL56" s="160"/>
      <c r="AM56" s="160"/>
      <c r="AP56" s="46" t="str">
        <f t="shared" si="1"/>
        <v>Добавить территорию для дифференциации</v>
      </c>
      <c r="AS56" s="46">
        <v>4</v>
      </c>
    </row>
    <row r="57" spans="1:45" s="46" customFormat="1" ht="4.1500000000000004" customHeight="1">
      <c r="A57" s="117"/>
      <c r="B57" s="117"/>
      <c r="C57" s="117"/>
      <c r="D57" s="117"/>
      <c r="E57" s="117"/>
      <c r="F57" s="117"/>
      <c r="G57" s="117"/>
      <c r="H57" s="117"/>
      <c r="I57" s="117"/>
      <c r="J57" s="117"/>
      <c r="K57" s="117"/>
      <c r="L57" s="117"/>
      <c r="M57" s="178"/>
      <c r="N57" s="178"/>
      <c r="O57" s="117"/>
      <c r="Q57" s="446"/>
      <c r="S57" s="449"/>
      <c r="T57" s="160" t="s">
        <v>451</v>
      </c>
      <c r="U57" s="160"/>
      <c r="V57" s="160"/>
      <c r="W57" s="160"/>
      <c r="X57" s="160"/>
      <c r="Y57" s="160"/>
      <c r="Z57" s="160"/>
      <c r="AA57" s="160"/>
      <c r="AB57" s="160"/>
      <c r="AC57" s="160"/>
      <c r="AD57" s="160"/>
      <c r="AE57" s="160"/>
      <c r="AF57" s="160"/>
      <c r="AG57" s="160"/>
      <c r="AH57" s="160"/>
      <c r="AI57" s="160"/>
      <c r="AJ57" s="160"/>
      <c r="AK57" s="160"/>
      <c r="AL57" s="160"/>
      <c r="AM57" s="160"/>
      <c r="AP57" s="46" t="str">
        <f t="shared" si="1"/>
        <v>Добавить наименование тарифа</v>
      </c>
      <c r="AS57" s="46">
        <v>4</v>
      </c>
    </row>
    <row r="58" spans="1:45" ht="11.45" customHeight="1">
      <c r="M58" s="4"/>
      <c r="N58" s="4"/>
      <c r="O58" s="4"/>
      <c r="P58" s="4"/>
      <c r="Q58" s="4"/>
      <c r="R58" s="4"/>
      <c r="AN58" s="4"/>
      <c r="AO58" s="4"/>
      <c r="AP58" s="4"/>
      <c r="AQ58" s="4"/>
      <c r="AR58" s="4"/>
      <c r="AS58" s="4">
        <v>11</v>
      </c>
    </row>
    <row r="59" spans="1:45" ht="28.5" customHeight="1">
      <c r="O59" s="4"/>
      <c r="T59" s="665"/>
      <c r="U59" s="665"/>
      <c r="V59" s="665"/>
      <c r="W59" s="665"/>
      <c r="X59" s="665"/>
      <c r="Y59" s="665"/>
      <c r="Z59" s="665"/>
      <c r="AA59" s="665"/>
      <c r="AB59" s="665"/>
      <c r="AC59" s="665"/>
      <c r="AD59" s="665"/>
      <c r="AE59" s="665"/>
      <c r="AF59" s="665"/>
      <c r="AG59" s="665"/>
      <c r="AH59" s="665"/>
      <c r="AI59" s="665"/>
      <c r="AJ59" s="665"/>
      <c r="AK59" s="665"/>
      <c r="AL59" s="665"/>
      <c r="AM59" s="665"/>
      <c r="AS59" s="4">
        <v>27</v>
      </c>
    </row>
    <row r="60" spans="1:45" ht="65.25" customHeight="1">
      <c r="O60" s="4"/>
      <c r="T60" s="665"/>
      <c r="U60" s="665"/>
      <c r="V60" s="665"/>
      <c r="W60" s="665"/>
      <c r="X60" s="665"/>
      <c r="Y60" s="665"/>
      <c r="Z60" s="665"/>
      <c r="AA60" s="665"/>
      <c r="AB60" s="665"/>
      <c r="AC60" s="665"/>
      <c r="AD60" s="665"/>
      <c r="AE60" s="665"/>
      <c r="AF60" s="665"/>
      <c r="AG60" s="665"/>
      <c r="AH60" s="665"/>
      <c r="AI60" s="665"/>
      <c r="AJ60" s="665"/>
      <c r="AK60" s="665"/>
      <c r="AL60" s="665"/>
      <c r="AM60" s="665"/>
      <c r="AS60" s="4">
        <v>62</v>
      </c>
    </row>
    <row r="61" spans="1:45" ht="14.65" customHeight="1">
      <c r="O61" s="4"/>
      <c r="AS61" s="4">
        <v>14</v>
      </c>
    </row>
    <row r="62" spans="1:45" ht="18.75" customHeight="1">
      <c r="O62" s="4"/>
      <c r="T62" s="665"/>
      <c r="U62" s="665"/>
      <c r="V62" s="665"/>
      <c r="W62" s="665"/>
      <c r="X62" s="665"/>
      <c r="Y62" s="665"/>
      <c r="Z62" s="665"/>
      <c r="AA62" s="665"/>
      <c r="AB62" s="665"/>
      <c r="AC62" s="665"/>
      <c r="AD62" s="665"/>
      <c r="AE62" s="665"/>
      <c r="AF62" s="665"/>
      <c r="AG62" s="665"/>
      <c r="AH62" s="665"/>
      <c r="AI62" s="665"/>
      <c r="AJ62" s="665"/>
      <c r="AK62" s="665"/>
      <c r="AL62" s="665"/>
      <c r="AM62" s="665"/>
      <c r="AS62" s="4">
        <v>18</v>
      </c>
    </row>
    <row r="63" spans="1:45" ht="18.75" customHeight="1">
      <c r="O63" s="4"/>
      <c r="T63" s="665"/>
      <c r="U63" s="665"/>
      <c r="V63" s="665"/>
      <c r="W63" s="665"/>
      <c r="X63" s="665"/>
      <c r="Y63" s="665"/>
      <c r="Z63" s="665"/>
      <c r="AA63" s="665"/>
      <c r="AB63" s="665"/>
      <c r="AC63" s="665"/>
      <c r="AD63" s="665"/>
      <c r="AE63" s="665"/>
      <c r="AF63" s="665"/>
      <c r="AG63" s="665"/>
      <c r="AH63" s="665"/>
      <c r="AI63" s="665"/>
      <c r="AJ63" s="665"/>
      <c r="AK63" s="665"/>
      <c r="AL63" s="665"/>
      <c r="AM63" s="665"/>
      <c r="AS63" s="4">
        <v>18</v>
      </c>
    </row>
    <row r="64" spans="1:45" ht="29.25" customHeight="1">
      <c r="O64" s="4"/>
      <c r="T64" s="665"/>
      <c r="U64" s="665"/>
      <c r="V64" s="665"/>
      <c r="W64" s="665"/>
      <c r="X64" s="665"/>
      <c r="Y64" s="665"/>
      <c r="Z64" s="665"/>
      <c r="AA64" s="665"/>
      <c r="AB64" s="665"/>
      <c r="AC64" s="665"/>
      <c r="AD64" s="665"/>
      <c r="AE64" s="665"/>
      <c r="AF64" s="665"/>
      <c r="AG64" s="665"/>
      <c r="AH64" s="665"/>
      <c r="AI64" s="665"/>
      <c r="AJ64" s="665"/>
      <c r="AK64" s="665"/>
      <c r="AL64" s="665"/>
      <c r="AM64" s="665"/>
      <c r="AS64" s="4">
        <v>28</v>
      </c>
    </row>
    <row r="65" spans="1:45" ht="22.5" hidden="1" customHeight="1">
      <c r="A65" s="4" t="s">
        <v>82</v>
      </c>
      <c r="B65" s="4">
        <v>0</v>
      </c>
      <c r="C65" s="4">
        <v>0</v>
      </c>
      <c r="D65" s="4">
        <v>0</v>
      </c>
      <c r="E65" s="4">
        <v>0</v>
      </c>
      <c r="F65" s="4">
        <v>0</v>
      </c>
      <c r="G65" s="4">
        <v>0</v>
      </c>
      <c r="H65" s="4">
        <v>0</v>
      </c>
      <c r="I65" s="4">
        <v>0</v>
      </c>
      <c r="J65" s="4">
        <v>0</v>
      </c>
      <c r="K65" s="4">
        <v>0</v>
      </c>
      <c r="L65" s="4">
        <v>0</v>
      </c>
      <c r="M65" s="23">
        <v>0</v>
      </c>
      <c r="N65" s="23">
        <v>0</v>
      </c>
      <c r="O65" s="23">
        <v>0</v>
      </c>
      <c r="P65" s="23">
        <v>3</v>
      </c>
      <c r="Q65" s="20">
        <v>3</v>
      </c>
      <c r="R65" s="20">
        <v>3</v>
      </c>
      <c r="S65" s="4">
        <v>12</v>
      </c>
      <c r="T65" s="4">
        <v>31</v>
      </c>
      <c r="U65" s="4">
        <v>0</v>
      </c>
      <c r="V65" s="4">
        <v>0</v>
      </c>
      <c r="W65" s="4">
        <v>0</v>
      </c>
      <c r="X65" s="4">
        <v>0</v>
      </c>
      <c r="Y65" s="4">
        <v>0</v>
      </c>
      <c r="Z65" s="4">
        <v>0</v>
      </c>
      <c r="AA65" s="4">
        <v>0</v>
      </c>
      <c r="AB65" s="4">
        <v>0</v>
      </c>
      <c r="AC65" s="4">
        <v>0</v>
      </c>
      <c r="AD65" s="4">
        <v>24</v>
      </c>
      <c r="AE65" s="4">
        <v>0</v>
      </c>
      <c r="AF65" s="4">
        <v>24</v>
      </c>
      <c r="AG65" s="4">
        <v>24</v>
      </c>
      <c r="AH65" s="4">
        <v>11</v>
      </c>
      <c r="AI65" s="4">
        <v>3</v>
      </c>
      <c r="AJ65" s="4">
        <v>11</v>
      </c>
      <c r="AK65" s="4">
        <v>0</v>
      </c>
      <c r="AL65" s="4">
        <v>4</v>
      </c>
      <c r="AM65" s="4">
        <v>115</v>
      </c>
      <c r="AN65" s="46">
        <v>10</v>
      </c>
      <c r="AO65" s="46">
        <v>10</v>
      </c>
      <c r="AP65" s="46">
        <v>10</v>
      </c>
      <c r="AQ65" s="46">
        <v>10</v>
      </c>
      <c r="AR65" s="46">
        <v>10</v>
      </c>
      <c r="AS65" s="4">
        <v>23</v>
      </c>
    </row>
  </sheetData>
  <sheetProtection insertRows="0" deleteColumns="0" deleteRows="0" sort="0" autoFilter="0"/>
  <mergeCells count="112">
    <mergeCell ref="T63:AM63"/>
    <mergeCell ref="T64:AM64"/>
    <mergeCell ref="AJ49:AJ50"/>
    <mergeCell ref="AK49:AK50"/>
    <mergeCell ref="AM49:AM51"/>
    <mergeCell ref="T59:AM59"/>
    <mergeCell ref="T60:AM60"/>
    <mergeCell ref="T62:AM62"/>
    <mergeCell ref="Q48:Q51"/>
    <mergeCell ref="V48:AC48"/>
    <mergeCell ref="AD48:AL48"/>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V37:AC37"/>
    <mergeCell ref="AD37:AK37"/>
    <mergeCell ref="S38:AL38"/>
    <mergeCell ref="AM38:AM41"/>
    <mergeCell ref="S39:S41"/>
    <mergeCell ref="T39:T41"/>
    <mergeCell ref="V39:AB39"/>
    <mergeCell ref="AC39:AC41"/>
    <mergeCell ref="AD39:AJ39"/>
    <mergeCell ref="AK39:AK41"/>
    <mergeCell ref="S34:T34"/>
    <mergeCell ref="V34:AB34"/>
    <mergeCell ref="AD34:AJ34"/>
    <mergeCell ref="S35:T35"/>
    <mergeCell ref="V35:AB35"/>
    <mergeCell ref="AD35:AJ35"/>
    <mergeCell ref="S31:T31"/>
    <mergeCell ref="V31:AB31"/>
    <mergeCell ref="AD31:AJ31"/>
    <mergeCell ref="S32:T32"/>
    <mergeCell ref="V32:AB32"/>
    <mergeCell ref="AD32:AJ32"/>
    <mergeCell ref="S26:AJ26"/>
    <mergeCell ref="S27:AJ27"/>
    <mergeCell ref="S29:T29"/>
    <mergeCell ref="V29:AB29"/>
    <mergeCell ref="AD29:AJ29"/>
    <mergeCell ref="S30:T30"/>
    <mergeCell ref="V30:AB30"/>
    <mergeCell ref="AD30:AJ30"/>
    <mergeCell ref="AI8:AI9"/>
    <mergeCell ref="AJ8:AJ9"/>
    <mergeCell ref="AM8:AM10"/>
    <mergeCell ref="AH17:AH18"/>
    <mergeCell ref="AI17:AI18"/>
    <mergeCell ref="AJ17:AJ18"/>
    <mergeCell ref="AK17:AK18"/>
    <mergeCell ref="K8:K9"/>
    <mergeCell ref="Z8:Z9"/>
    <mergeCell ref="AA8:AA9"/>
    <mergeCell ref="AB8:AB9"/>
    <mergeCell ref="AC8:AC9"/>
    <mergeCell ref="AH8:AH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xr:uid="{00000000-0002-0000-0C00-000000000000}">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xr:uid="{00000000-0002-0000-0C00-000001000000}"/>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xr:uid="{00000000-0002-0000-0C00-000002000000}">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xr:uid="{00000000-0002-0000-0C00-00000300000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xr:uid="{00000000-0002-0000-0C00-000004000000}">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xr:uid="{00000000-0002-0000-0C00-00000500000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xr:uid="{00000000-0002-0000-0C00-000006000000}"/>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xr:uid="{00000000-0002-0000-0C00-00000700000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E1E87F-93AA-CE08-BA15-CEDA2F930FA3}">
  <sheetPr>
    <tabColor theme="6" tint="0.39997558519241921"/>
  </sheetPr>
  <dimension ref="A1:AS65"/>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4" hidden="1"/>
    <col min="2" max="2" width="11" style="4" hidden="1" customWidth="1"/>
    <col min="3" max="3" width="10.5703125" style="4" hidden="1"/>
    <col min="4" max="4" width="11.85546875" style="4" hidden="1" customWidth="1"/>
    <col min="5" max="5" width="10" style="4" hidden="1" customWidth="1"/>
    <col min="6" max="6" width="8.7109375" style="4" hidden="1" customWidth="1"/>
    <col min="7" max="7" width="7.5703125" style="4" hidden="1" customWidth="1"/>
    <col min="8" max="8" width="11.42578125" style="4" hidden="1" customWidth="1"/>
    <col min="9" max="9" width="12" style="4" hidden="1" customWidth="1"/>
    <col min="10" max="10" width="9.85546875" style="4" hidden="1" customWidth="1"/>
    <col min="11" max="11" width="11.42578125" style="4" hidden="1" customWidth="1"/>
    <col min="12" max="12" width="19.140625" style="4" hidden="1" customWidth="1"/>
    <col min="13" max="14" width="12.28515625" style="23" hidden="1" customWidth="1"/>
    <col min="15" max="15" width="23.42578125" style="23" hidden="1" customWidth="1"/>
    <col min="16" max="16" width="3" style="23" customWidth="1"/>
    <col min="17" max="18" width="3" style="20" customWidth="1"/>
    <col min="19" max="19" width="12" style="4" customWidth="1"/>
    <col min="20" max="20" width="31" style="4" customWidth="1"/>
    <col min="21" max="21" width="0.140625" style="4" customWidth="1"/>
    <col min="22" max="22" width="24.7109375" style="4" hidden="1" customWidth="1"/>
    <col min="23" max="23" width="0.140625" style="4" hidden="1" customWidth="1"/>
    <col min="24" max="25" width="24.7109375" style="4" hidden="1" customWidth="1"/>
    <col min="26" max="26" width="11.7109375" style="4" hidden="1" customWidth="1"/>
    <col min="27" max="27" width="3.7109375" style="4" hidden="1" customWidth="1"/>
    <col min="28" max="28" width="11.7109375" style="4" hidden="1" customWidth="1"/>
    <col min="29" max="29" width="8.5703125" style="4" hidden="1" customWidth="1"/>
    <col min="30" max="30" width="24.7109375" style="4" customWidth="1"/>
    <col min="31" max="31" width="0.140625" style="4" customWidth="1"/>
    <col min="32" max="33" width="24" style="4" customWidth="1"/>
    <col min="34" max="34" width="11" style="4" customWidth="1"/>
    <col min="35" max="35" width="3.7109375" style="4" customWidth="1"/>
    <col min="36" max="36" width="11" style="4" customWidth="1"/>
    <col min="37" max="37" width="8.5703125" style="4" hidden="1" customWidth="1"/>
    <col min="38" max="38" width="4" style="4" customWidth="1"/>
    <col min="39" max="39" width="115" style="4" customWidth="1"/>
    <col min="40" max="44" width="10" style="46" customWidth="1"/>
    <col min="45" max="45" width="10.5703125" style="4" hidden="1"/>
  </cols>
  <sheetData>
    <row r="1" spans="1:45" ht="22.5" hidden="1" customHeight="1">
      <c r="AS1" s="4" t="s">
        <v>14</v>
      </c>
    </row>
    <row r="2" spans="1:45" ht="21" hidden="1" customHeight="1">
      <c r="E2" s="679">
        <v>1</v>
      </c>
      <c r="M2" s="4"/>
      <c r="N2" s="4"/>
      <c r="O2" s="4"/>
      <c r="Q2" s="4"/>
      <c r="R2" s="119"/>
      <c r="S2" s="24" t="e">
        <f>INDEX(PT_DIFFERENTIATION_NUM_NTAR,MATCH(A2,PT_DIFFERENTIATION_NTAR_ID,0))</f>
        <v>#N/A</v>
      </c>
      <c r="T2" s="29" t="s">
        <v>128</v>
      </c>
      <c r="U2" s="29"/>
      <c r="V2" s="742"/>
      <c r="W2" s="743"/>
      <c r="X2" s="743"/>
      <c r="Y2" s="743"/>
      <c r="Z2" s="743"/>
      <c r="AA2" s="743"/>
      <c r="AB2" s="743"/>
      <c r="AC2" s="744"/>
      <c r="AD2" s="742" t="e">
        <f>INDEX(PT_DIFFERENTIATION_NTAR,MATCH(A2,PT_DIFFERENTIATION_NTAR_ID,0))</f>
        <v>#N/A</v>
      </c>
      <c r="AE2" s="743"/>
      <c r="AF2" s="743"/>
      <c r="AG2" s="743"/>
      <c r="AH2" s="743"/>
      <c r="AI2" s="743"/>
      <c r="AJ2" s="743"/>
      <c r="AK2" s="743"/>
      <c r="AL2" s="744"/>
      <c r="AM2" s="428" t="s">
        <v>399</v>
      </c>
      <c r="AP2" s="46" t="str">
        <f t="shared" ref="AP2:AP15" si="0">IF(T2="","",T2)</f>
        <v>Наименование тарифа</v>
      </c>
      <c r="AS2" s="4">
        <v>0</v>
      </c>
    </row>
    <row r="3" spans="1:45" ht="21" hidden="1" customHeight="1">
      <c r="E3" s="662"/>
      <c r="F3" s="679">
        <v>1</v>
      </c>
      <c r="M3" s="4"/>
      <c r="N3" s="4"/>
      <c r="O3" s="4"/>
      <c r="P3" s="4"/>
      <c r="Q3" s="118"/>
      <c r="R3" s="119"/>
      <c r="S3" s="24" t="e">
        <f>INDEX(PT_DIFFERENTIATION_NUM_TER,MATCH(B3,PT_DIFFERENTIATION_TER_ID,0))</f>
        <v>#N/A</v>
      </c>
      <c r="T3" s="24" t="s">
        <v>400</v>
      </c>
      <c r="U3" s="29"/>
      <c r="V3" s="742"/>
      <c r="W3" s="743"/>
      <c r="X3" s="743"/>
      <c r="Y3" s="743"/>
      <c r="Z3" s="743"/>
      <c r="AA3" s="743"/>
      <c r="AB3" s="743"/>
      <c r="AC3" s="744"/>
      <c r="AD3" s="742" t="e">
        <f>INDEX(PT_DIFFERENTIATION_TER,MATCH(B3,PT_DIFFERENTIATION_TER_ID,0))</f>
        <v>#N/A</v>
      </c>
      <c r="AE3" s="743"/>
      <c r="AF3" s="743"/>
      <c r="AG3" s="743"/>
      <c r="AH3" s="743"/>
      <c r="AI3" s="743"/>
      <c r="AJ3" s="743"/>
      <c r="AK3" s="743"/>
      <c r="AL3" s="744"/>
      <c r="AM3" s="428" t="s">
        <v>401</v>
      </c>
      <c r="AP3" s="46" t="str">
        <f t="shared" si="0"/>
        <v>Территория действия тарифа</v>
      </c>
      <c r="AS3" s="4">
        <v>0</v>
      </c>
    </row>
    <row r="4" spans="1:45" ht="23.25" hidden="1" customHeight="1">
      <c r="E4" s="662"/>
      <c r="F4" s="662"/>
      <c r="G4" s="679">
        <v>1</v>
      </c>
      <c r="M4" s="4"/>
      <c r="N4" s="4"/>
      <c r="O4" s="4"/>
      <c r="P4" s="16"/>
      <c r="Q4" s="118"/>
      <c r="R4" s="119"/>
      <c r="S4" s="24" t="e">
        <f>INDEX(PT_DIFFERENTIATION_NUM_CS,MATCH(C4,PT_DIFFERENTIATION_CS_ID,0))</f>
        <v>#N/A</v>
      </c>
      <c r="T4" s="24" t="s">
        <v>402</v>
      </c>
      <c r="U4" s="29"/>
      <c r="V4" s="742"/>
      <c r="W4" s="743"/>
      <c r="X4" s="743"/>
      <c r="Y4" s="743"/>
      <c r="Z4" s="743"/>
      <c r="AA4" s="743"/>
      <c r="AB4" s="743"/>
      <c r="AC4" s="744"/>
      <c r="AD4" s="742" t="e">
        <f>INDEX(PT_DIFFERENTIATION_CS,MATCH(C4,PT_DIFFERENTIATION_CS_ID,0))</f>
        <v>#N/A</v>
      </c>
      <c r="AE4" s="743"/>
      <c r="AF4" s="743"/>
      <c r="AG4" s="743"/>
      <c r="AH4" s="743"/>
      <c r="AI4" s="743"/>
      <c r="AJ4" s="743"/>
      <c r="AK4" s="743"/>
      <c r="AL4" s="744"/>
      <c r="AM4" s="428" t="s">
        <v>403</v>
      </c>
      <c r="AP4" s="46" t="str">
        <f t="shared" si="0"/>
        <v xml:space="preserve">Наименование системы теплоснабжения </v>
      </c>
      <c r="AS4" s="4">
        <v>0</v>
      </c>
    </row>
    <row r="5" spans="1:45" ht="21" hidden="1" customHeight="1">
      <c r="E5" s="662"/>
      <c r="F5" s="662"/>
      <c r="G5" s="662"/>
      <c r="H5" s="679">
        <v>1</v>
      </c>
      <c r="M5" s="4"/>
      <c r="N5" s="4"/>
      <c r="O5" s="4"/>
      <c r="P5" s="16"/>
      <c r="Q5" s="118"/>
      <c r="R5" s="119"/>
      <c r="S5" s="24" t="e">
        <f>INDEX(PT_DIFFERENTIATION_NUM_IST_TE,MATCH(D5,PT_DIFFERENTIATION_IST_TE_ID,0))</f>
        <v>#N/A</v>
      </c>
      <c r="T5" s="24" t="s">
        <v>404</v>
      </c>
      <c r="U5" s="29"/>
      <c r="V5" s="742"/>
      <c r="W5" s="743"/>
      <c r="X5" s="743"/>
      <c r="Y5" s="743"/>
      <c r="Z5" s="743"/>
      <c r="AA5" s="743"/>
      <c r="AB5" s="743"/>
      <c r="AC5" s="744"/>
      <c r="AD5" s="742" t="e">
        <f>INDEX(PT_DIFFERENTIATION_IST_TE,MATCH(D5,PT_DIFFERENTIATION_IST_TE_ID,0))</f>
        <v>#N/A</v>
      </c>
      <c r="AE5" s="743"/>
      <c r="AF5" s="743"/>
      <c r="AG5" s="743"/>
      <c r="AH5" s="743"/>
      <c r="AI5" s="743"/>
      <c r="AJ5" s="743"/>
      <c r="AK5" s="743"/>
      <c r="AL5" s="744"/>
      <c r="AM5" s="428" t="s">
        <v>405</v>
      </c>
      <c r="AP5" s="46" t="str">
        <f t="shared" si="0"/>
        <v xml:space="preserve">Источник тепловой энергии  </v>
      </c>
      <c r="AS5" s="4">
        <v>0</v>
      </c>
    </row>
    <row r="6" spans="1:45" ht="47.25" hidden="1" customHeight="1">
      <c r="E6" s="662"/>
      <c r="F6" s="662"/>
      <c r="G6" s="662"/>
      <c r="H6" s="662"/>
      <c r="I6" s="679" t="e">
        <f>S5&amp;".1"</f>
        <v>#N/A</v>
      </c>
      <c r="L6" s="4" t="s">
        <v>406</v>
      </c>
      <c r="M6" s="4"/>
      <c r="P6" s="748">
        <v>1</v>
      </c>
      <c r="Q6" s="46"/>
      <c r="R6" s="120"/>
      <c r="S6" s="24" t="e">
        <f>$I6</f>
        <v>#N/A</v>
      </c>
      <c r="T6" s="24" t="s">
        <v>407</v>
      </c>
      <c r="U6" s="29"/>
      <c r="V6" s="737"/>
      <c r="W6" s="738"/>
      <c r="X6" s="738"/>
      <c r="Y6" s="738"/>
      <c r="Z6" s="738"/>
      <c r="AA6" s="738"/>
      <c r="AB6" s="738"/>
      <c r="AC6" s="739"/>
      <c r="AD6" s="737"/>
      <c r="AE6" s="738"/>
      <c r="AF6" s="738"/>
      <c r="AG6" s="738"/>
      <c r="AH6" s="738"/>
      <c r="AI6" s="738"/>
      <c r="AJ6" s="738"/>
      <c r="AK6" s="738"/>
      <c r="AL6" s="739"/>
      <c r="AM6" s="428" t="s">
        <v>408</v>
      </c>
      <c r="AP6" s="46" t="str">
        <f t="shared" si="0"/>
        <v>Схема подключения теплопотребляющей установки к коллектору источника тепловой энергии</v>
      </c>
      <c r="AS6" s="4">
        <v>0</v>
      </c>
    </row>
    <row r="7" spans="1:45" ht="21" hidden="1" customHeight="1">
      <c r="E7" s="662"/>
      <c r="F7" s="662"/>
      <c r="G7" s="662"/>
      <c r="H7" s="662"/>
      <c r="I7" s="662"/>
      <c r="J7" s="679" t="e">
        <f>I6&amp;".1"</f>
        <v>#N/A</v>
      </c>
      <c r="L7" s="4" t="s">
        <v>409</v>
      </c>
      <c r="M7" s="4"/>
      <c r="N7" s="4"/>
      <c r="P7" s="748"/>
      <c r="Q7" s="748">
        <v>1</v>
      </c>
      <c r="R7" s="120"/>
      <c r="S7" s="24" t="e">
        <f>$J7</f>
        <v>#N/A</v>
      </c>
      <c r="T7" s="24" t="s">
        <v>410</v>
      </c>
      <c r="U7" s="29"/>
      <c r="V7" s="737"/>
      <c r="W7" s="738"/>
      <c r="X7" s="738"/>
      <c r="Y7" s="738"/>
      <c r="Z7" s="738"/>
      <c r="AA7" s="738"/>
      <c r="AB7" s="738"/>
      <c r="AC7" s="739"/>
      <c r="AD7" s="737"/>
      <c r="AE7" s="738"/>
      <c r="AF7" s="738"/>
      <c r="AG7" s="738"/>
      <c r="AH7" s="738"/>
      <c r="AI7" s="738"/>
      <c r="AJ7" s="738"/>
      <c r="AK7" s="738"/>
      <c r="AL7" s="739"/>
      <c r="AM7" s="428" t="s">
        <v>411</v>
      </c>
      <c r="AP7" s="46" t="str">
        <f t="shared" si="0"/>
        <v>Группа потребителей</v>
      </c>
      <c r="AS7" s="4">
        <v>0</v>
      </c>
    </row>
    <row r="8" spans="1:45" ht="21" hidden="1" customHeight="1">
      <c r="E8" s="662"/>
      <c r="F8" s="662"/>
      <c r="G8" s="662"/>
      <c r="H8" s="662"/>
      <c r="I8" s="662"/>
      <c r="J8" s="662"/>
      <c r="K8" s="679" t="e">
        <f>J7&amp;".1"</f>
        <v>#N/A</v>
      </c>
      <c r="L8" s="4" t="s">
        <v>412</v>
      </c>
      <c r="M8" s="4"/>
      <c r="N8" s="4"/>
      <c r="O8" s="4"/>
      <c r="P8" s="748"/>
      <c r="Q8" s="748"/>
      <c r="R8" s="120">
        <v>1</v>
      </c>
      <c r="S8" s="24" t="e">
        <f>$K8</f>
        <v>#N/A</v>
      </c>
      <c r="T8" s="356"/>
      <c r="U8" s="29"/>
      <c r="V8" s="168"/>
      <c r="W8" s="110"/>
      <c r="X8" s="168"/>
      <c r="Y8" s="427"/>
      <c r="Z8" s="749"/>
      <c r="AA8" s="688" t="s">
        <v>66</v>
      </c>
      <c r="AB8" s="749"/>
      <c r="AC8" s="688" t="s">
        <v>66</v>
      </c>
      <c r="AD8" s="168"/>
      <c r="AE8" s="110"/>
      <c r="AF8" s="168"/>
      <c r="AG8" s="427"/>
      <c r="AH8" s="749"/>
      <c r="AI8" s="688" t="s">
        <v>66</v>
      </c>
      <c r="AJ8" s="749"/>
      <c r="AK8" s="688" t="s">
        <v>66</v>
      </c>
      <c r="AL8" s="110"/>
      <c r="AM8" s="762" t="s">
        <v>413</v>
      </c>
      <c r="AN8" s="46" t="e">
        <f ca="1">STRCHECKDATE(V9:AL9)</f>
        <v>#NAME?</v>
      </c>
      <c r="AP8" s="46" t="str">
        <f t="shared" si="0"/>
        <v/>
      </c>
      <c r="AS8" s="4">
        <v>0</v>
      </c>
    </row>
    <row r="9" spans="1:45" ht="0.75" hidden="1" customHeight="1">
      <c r="E9" s="662"/>
      <c r="F9" s="662"/>
      <c r="G9" s="662"/>
      <c r="H9" s="662"/>
      <c r="I9" s="662"/>
      <c r="J9" s="662"/>
      <c r="K9" s="679"/>
      <c r="M9" s="4"/>
      <c r="N9" s="4"/>
      <c r="O9" s="4"/>
      <c r="P9" s="748"/>
      <c r="Q9" s="748"/>
      <c r="R9" s="120"/>
      <c r="S9" s="31"/>
      <c r="T9" s="29"/>
      <c r="U9" s="29"/>
      <c r="V9" s="110"/>
      <c r="W9" s="110"/>
      <c r="X9" s="110"/>
      <c r="Y9" s="111" t="str">
        <f>Z8&amp;"-"&amp;AB8</f>
        <v>-</v>
      </c>
      <c r="Z9" s="707"/>
      <c r="AA9" s="688"/>
      <c r="AB9" s="707"/>
      <c r="AC9" s="688"/>
      <c r="AD9" s="110"/>
      <c r="AE9" s="110"/>
      <c r="AF9" s="110"/>
      <c r="AG9" s="111" t="str">
        <f>AH8&amp;"-"&amp;AJ8</f>
        <v>-</v>
      </c>
      <c r="AH9" s="707"/>
      <c r="AI9" s="688"/>
      <c r="AJ9" s="707"/>
      <c r="AK9" s="688"/>
      <c r="AL9" s="110"/>
      <c r="AM9" s="763"/>
      <c r="AP9" s="46" t="str">
        <f t="shared" si="0"/>
        <v/>
      </c>
      <c r="AS9" s="4">
        <v>0</v>
      </c>
    </row>
    <row r="10" spans="1:45" ht="15" hidden="1" customHeight="1">
      <c r="E10" s="662"/>
      <c r="F10" s="662"/>
      <c r="G10" s="662"/>
      <c r="H10" s="662"/>
      <c r="I10" s="662"/>
      <c r="J10" s="679"/>
      <c r="M10" s="4"/>
      <c r="N10" s="4"/>
      <c r="P10" s="748"/>
      <c r="Q10" s="748"/>
      <c r="R10" s="120"/>
      <c r="S10" s="434"/>
      <c r="T10" s="37" t="s">
        <v>414</v>
      </c>
      <c r="U10" s="58"/>
      <c r="V10" s="58"/>
      <c r="W10" s="58"/>
      <c r="X10" s="58"/>
      <c r="Y10" s="58"/>
      <c r="Z10" s="58"/>
      <c r="AA10" s="58"/>
      <c r="AB10" s="58"/>
      <c r="AC10" s="58"/>
      <c r="AD10" s="58"/>
      <c r="AE10" s="58"/>
      <c r="AF10" s="58"/>
      <c r="AG10" s="58"/>
      <c r="AH10" s="58"/>
      <c r="AI10" s="58"/>
      <c r="AJ10" s="58"/>
      <c r="AK10" s="58"/>
      <c r="AL10" s="59"/>
      <c r="AM10" s="764"/>
      <c r="AP10" s="46" t="str">
        <f t="shared" si="0"/>
        <v>Добавить вид теплоносителя (параметры теплоносителя)</v>
      </c>
      <c r="AS10" s="4">
        <v>0</v>
      </c>
    </row>
    <row r="11" spans="1:45" ht="15" hidden="1" customHeight="1">
      <c r="E11" s="662"/>
      <c r="F11" s="662"/>
      <c r="G11" s="662"/>
      <c r="H11" s="662"/>
      <c r="I11" s="679"/>
      <c r="M11" s="4"/>
      <c r="P11" s="748"/>
      <c r="Q11" s="46"/>
      <c r="R11" s="120"/>
      <c r="S11" s="434"/>
      <c r="T11" s="37" t="s">
        <v>415</v>
      </c>
      <c r="U11" s="58"/>
      <c r="V11" s="58"/>
      <c r="W11" s="58"/>
      <c r="X11" s="58"/>
      <c r="Y11" s="58"/>
      <c r="Z11" s="58"/>
      <c r="AA11" s="58"/>
      <c r="AB11" s="58"/>
      <c r="AC11" s="54"/>
      <c r="AD11" s="58"/>
      <c r="AE11" s="58"/>
      <c r="AF11" s="58"/>
      <c r="AG11" s="58"/>
      <c r="AH11" s="58"/>
      <c r="AI11" s="58"/>
      <c r="AJ11" s="58"/>
      <c r="AK11" s="54"/>
      <c r="AL11" s="58"/>
      <c r="AM11" s="102"/>
      <c r="AP11" s="46" t="str">
        <f t="shared" si="0"/>
        <v>Добавить группу потребителей</v>
      </c>
      <c r="AS11" s="4">
        <v>0</v>
      </c>
    </row>
    <row r="12" spans="1:45" ht="14.25" hidden="1" customHeight="1">
      <c r="E12" s="662"/>
      <c r="F12" s="662"/>
      <c r="G12" s="662"/>
      <c r="H12" s="679"/>
      <c r="M12" s="4"/>
      <c r="N12" s="4"/>
      <c r="O12" s="4"/>
      <c r="P12" s="4"/>
      <c r="R12" s="119"/>
      <c r="S12" s="434"/>
      <c r="T12" s="37" t="s">
        <v>416</v>
      </c>
      <c r="U12" s="58"/>
      <c r="V12" s="58"/>
      <c r="W12" s="58"/>
      <c r="X12" s="58"/>
      <c r="Y12" s="58"/>
      <c r="Z12" s="58"/>
      <c r="AA12" s="58"/>
      <c r="AB12" s="58"/>
      <c r="AC12" s="54"/>
      <c r="AD12" s="58"/>
      <c r="AE12" s="58"/>
      <c r="AF12" s="58"/>
      <c r="AG12" s="58"/>
      <c r="AH12" s="58"/>
      <c r="AI12" s="58"/>
      <c r="AJ12" s="58"/>
      <c r="AK12" s="54"/>
      <c r="AL12" s="58"/>
      <c r="AM12" s="102"/>
      <c r="AP12" s="46" t="str">
        <f t="shared" si="0"/>
        <v>Добавить схему подключения</v>
      </c>
      <c r="AS12" s="4">
        <v>0</v>
      </c>
    </row>
    <row r="13" spans="1:45" s="46" customFormat="1" ht="0.75" hidden="1" customHeight="1">
      <c r="A13" s="4"/>
      <c r="B13" s="4"/>
      <c r="C13" s="4"/>
      <c r="D13" s="4"/>
      <c r="E13" s="662"/>
      <c r="F13" s="662"/>
      <c r="G13" s="679"/>
      <c r="H13" s="4"/>
      <c r="I13" s="4"/>
      <c r="J13" s="4"/>
      <c r="K13" s="4"/>
      <c r="L13" s="4"/>
      <c r="M13" s="4"/>
      <c r="N13" s="4"/>
      <c r="O13" s="4"/>
      <c r="Q13" s="446"/>
      <c r="S13" s="447"/>
      <c r="T13" s="448" t="s">
        <v>417</v>
      </c>
      <c r="U13" s="448"/>
      <c r="V13" s="448"/>
      <c r="W13" s="448"/>
      <c r="X13" s="448"/>
      <c r="Y13" s="448"/>
      <c r="Z13" s="448"/>
      <c r="AA13" s="448"/>
      <c r="AB13" s="448"/>
      <c r="AC13" s="448"/>
      <c r="AD13" s="448"/>
      <c r="AE13" s="448"/>
      <c r="AF13" s="448"/>
      <c r="AG13" s="448"/>
      <c r="AH13" s="448"/>
      <c r="AI13" s="448"/>
      <c r="AJ13" s="448"/>
      <c r="AK13" s="448"/>
      <c r="AL13" s="448"/>
      <c r="AM13" s="448"/>
      <c r="AP13" s="46" t="str">
        <f t="shared" si="0"/>
        <v>Добавить источник для дифференциации</v>
      </c>
      <c r="AS13" s="46">
        <v>0</v>
      </c>
    </row>
    <row r="14" spans="1:45" s="46" customFormat="1" ht="0.75" hidden="1" customHeight="1">
      <c r="A14" s="4"/>
      <c r="B14" s="4"/>
      <c r="C14" s="4"/>
      <c r="D14" s="4"/>
      <c r="E14" s="662"/>
      <c r="F14" s="679"/>
      <c r="G14" s="4"/>
      <c r="H14" s="4"/>
      <c r="I14" s="4"/>
      <c r="J14" s="4"/>
      <c r="K14" s="4"/>
      <c r="L14" s="4"/>
      <c r="M14" s="23"/>
      <c r="N14" s="23"/>
      <c r="O14" s="4"/>
      <c r="Q14" s="446"/>
      <c r="S14" s="449"/>
      <c r="T14" s="160" t="s">
        <v>418</v>
      </c>
      <c r="U14" s="160"/>
      <c r="V14" s="160"/>
      <c r="W14" s="160"/>
      <c r="X14" s="160"/>
      <c r="Y14" s="160"/>
      <c r="Z14" s="160"/>
      <c r="AA14" s="160"/>
      <c r="AB14" s="160"/>
      <c r="AC14" s="160"/>
      <c r="AD14" s="160"/>
      <c r="AE14" s="160"/>
      <c r="AF14" s="160"/>
      <c r="AG14" s="160"/>
      <c r="AH14" s="160"/>
      <c r="AI14" s="160"/>
      <c r="AJ14" s="160"/>
      <c r="AK14" s="160"/>
      <c r="AL14" s="160"/>
      <c r="AM14" s="160"/>
      <c r="AP14" s="46" t="str">
        <f t="shared" si="0"/>
        <v>Добавить централизованную систему для дифференциации</v>
      </c>
      <c r="AS14" s="46">
        <v>0</v>
      </c>
    </row>
    <row r="15" spans="1:45" s="46" customFormat="1" ht="0.75" hidden="1" customHeight="1">
      <c r="A15" s="4"/>
      <c r="B15" s="4"/>
      <c r="C15" s="4"/>
      <c r="D15" s="4"/>
      <c r="E15" s="679"/>
      <c r="F15" s="4"/>
      <c r="G15" s="4"/>
      <c r="H15" s="4"/>
      <c r="I15" s="4"/>
      <c r="J15" s="4"/>
      <c r="K15" s="4"/>
      <c r="L15" s="4"/>
      <c r="M15" s="23"/>
      <c r="N15" s="23"/>
      <c r="O15" s="4"/>
      <c r="Q15" s="446"/>
      <c r="S15" s="449"/>
      <c r="T15" s="160" t="s">
        <v>419</v>
      </c>
      <c r="U15" s="160"/>
      <c r="V15" s="160"/>
      <c r="W15" s="160"/>
      <c r="X15" s="160"/>
      <c r="Y15" s="160"/>
      <c r="Z15" s="160"/>
      <c r="AA15" s="160"/>
      <c r="AB15" s="160"/>
      <c r="AC15" s="160"/>
      <c r="AD15" s="160"/>
      <c r="AE15" s="160"/>
      <c r="AF15" s="160"/>
      <c r="AG15" s="160"/>
      <c r="AH15" s="160"/>
      <c r="AI15" s="160"/>
      <c r="AJ15" s="160"/>
      <c r="AK15" s="160"/>
      <c r="AL15" s="160"/>
      <c r="AM15" s="160"/>
      <c r="AP15" s="46" t="str">
        <f t="shared" si="0"/>
        <v>Добавить территорию для дифференциации</v>
      </c>
      <c r="AS15" s="46">
        <v>0</v>
      </c>
    </row>
    <row r="16" spans="1:45" ht="14.25" hidden="1" customHeight="1">
      <c r="AS16" s="4">
        <v>0</v>
      </c>
    </row>
    <row r="17" spans="1:45" ht="14.25" hidden="1" customHeight="1">
      <c r="AD17" s="205"/>
      <c r="AE17" s="205"/>
      <c r="AF17" s="205"/>
      <c r="AG17" s="451"/>
      <c r="AH17" s="746"/>
      <c r="AI17" s="745" t="s">
        <v>66</v>
      </c>
      <c r="AJ17" s="746"/>
      <c r="AK17" s="745" t="s">
        <v>66</v>
      </c>
      <c r="AS17" s="4">
        <v>0</v>
      </c>
    </row>
    <row r="18" spans="1:45" ht="14.25" hidden="1" customHeight="1">
      <c r="AD18" s="205"/>
      <c r="AE18" s="205"/>
      <c r="AF18" s="205"/>
      <c r="AG18" s="111" t="str">
        <f>AH17&amp;"-"&amp;AJ17</f>
        <v>-</v>
      </c>
      <c r="AH18" s="745"/>
      <c r="AI18" s="745"/>
      <c r="AJ18" s="745"/>
      <c r="AK18" s="745"/>
      <c r="AS18" s="4">
        <v>0</v>
      </c>
    </row>
    <row r="19" spans="1:45" ht="14.25" hidden="1" customHeight="1">
      <c r="AS19" s="4">
        <v>0</v>
      </c>
    </row>
    <row r="20" spans="1:45" s="43" customFormat="1" ht="14.25" hidden="1" customHeight="1">
      <c r="A20" s="4"/>
      <c r="B20" s="4"/>
      <c r="C20" s="4"/>
      <c r="D20" s="4"/>
      <c r="E20" s="4"/>
      <c r="F20" s="4"/>
      <c r="G20" s="4"/>
      <c r="H20" s="4"/>
      <c r="I20" s="4"/>
      <c r="J20" s="4"/>
      <c r="K20" s="4"/>
      <c r="L20" s="4"/>
      <c r="M20" s="23"/>
      <c r="N20" s="23"/>
      <c r="O20" s="31" t="s">
        <v>420</v>
      </c>
      <c r="P20" s="167"/>
      <c r="Q20" s="452"/>
      <c r="R20" s="452"/>
      <c r="Z20" s="261"/>
      <c r="AB20" s="261"/>
      <c r="AH20" s="261"/>
      <c r="AJ20" s="261"/>
      <c r="AN20" s="46"/>
      <c r="AO20" s="46"/>
      <c r="AP20" s="46"/>
      <c r="AQ20" s="46"/>
      <c r="AR20" s="46"/>
      <c r="AS20" s="43">
        <v>0</v>
      </c>
    </row>
    <row r="21" spans="1:45" s="43" customFormat="1" ht="14.25" hidden="1" customHeight="1">
      <c r="A21" s="4"/>
      <c r="B21" s="4"/>
      <c r="C21" s="4"/>
      <c r="D21" s="4"/>
      <c r="E21" s="4"/>
      <c r="F21" s="4"/>
      <c r="G21" s="4"/>
      <c r="H21" s="4"/>
      <c r="I21" s="4"/>
      <c r="J21" s="4"/>
      <c r="K21" s="4"/>
      <c r="L21" s="4"/>
      <c r="M21" s="23"/>
      <c r="N21" s="23"/>
      <c r="O21" s="23"/>
      <c r="P21" s="167"/>
      <c r="Q21" s="452"/>
      <c r="R21" s="452"/>
      <c r="AN21" s="46"/>
      <c r="AO21" s="46"/>
      <c r="AP21" s="46"/>
      <c r="AQ21" s="46"/>
      <c r="AR21" s="46"/>
      <c r="AS21" s="43">
        <v>0</v>
      </c>
    </row>
    <row r="22" spans="1:45" s="43" customFormat="1" ht="14.25" hidden="1" customHeight="1">
      <c r="A22" s="4"/>
      <c r="B22" s="4"/>
      <c r="C22" s="4"/>
      <c r="D22" s="4"/>
      <c r="E22" s="4"/>
      <c r="F22" s="4"/>
      <c r="G22" s="4"/>
      <c r="H22" s="4"/>
      <c r="I22" s="4"/>
      <c r="J22" s="4"/>
      <c r="K22" s="4"/>
      <c r="L22" s="4"/>
      <c r="M22" s="23"/>
      <c r="N22" s="23"/>
      <c r="O22" s="4" t="s">
        <v>421</v>
      </c>
      <c r="P22" s="167"/>
      <c r="Q22" s="452"/>
      <c r="R22" s="452"/>
      <c r="T22" s="43" t="s">
        <v>422</v>
      </c>
      <c r="AA22" s="43" t="s">
        <v>423</v>
      </c>
      <c r="AC22" s="43" t="s">
        <v>424</v>
      </c>
      <c r="AD22" s="43" t="s">
        <v>422</v>
      </c>
      <c r="AI22" s="43" t="s">
        <v>425</v>
      </c>
      <c r="AK22" s="43" t="s">
        <v>424</v>
      </c>
      <c r="AN22" s="46"/>
      <c r="AO22" s="46"/>
      <c r="AP22" s="46"/>
      <c r="AQ22" s="46"/>
      <c r="AR22" s="46"/>
      <c r="AS22" s="43">
        <v>0</v>
      </c>
    </row>
    <row r="23" spans="1:45" ht="14.25" hidden="1" customHeight="1">
      <c r="O23" s="4"/>
      <c r="AS23" s="4">
        <v>0</v>
      </c>
    </row>
    <row r="24" spans="1:45" ht="14.25" hidden="1" customHeight="1">
      <c r="O24" s="4"/>
      <c r="AS24" s="4">
        <v>0</v>
      </c>
    </row>
    <row r="25" spans="1:45" ht="14.65" customHeight="1">
      <c r="Q25" s="19"/>
      <c r="R25" s="19"/>
      <c r="S25" s="6"/>
      <c r="T25" s="6"/>
      <c r="U25" s="6"/>
      <c r="AS25" s="4">
        <v>14</v>
      </c>
    </row>
    <row r="26" spans="1:45" ht="14.65" customHeight="1">
      <c r="Q26" s="19"/>
      <c r="R26" s="19"/>
      <c r="S26" s="697"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697"/>
      <c r="U26" s="697"/>
      <c r="V26" s="697"/>
      <c r="W26" s="697"/>
      <c r="X26" s="697"/>
      <c r="Y26" s="697"/>
      <c r="Z26" s="697"/>
      <c r="AA26" s="697"/>
      <c r="AB26" s="697"/>
      <c r="AC26" s="697"/>
      <c r="AD26" s="697"/>
      <c r="AE26" s="697"/>
      <c r="AF26" s="697"/>
      <c r="AG26" s="697"/>
      <c r="AH26" s="697"/>
      <c r="AI26" s="697"/>
      <c r="AJ26" s="697"/>
      <c r="AK26" s="40"/>
      <c r="AS26" s="4">
        <v>14</v>
      </c>
    </row>
    <row r="27" spans="1:45" ht="14.65" customHeight="1">
      <c r="Q27" s="19"/>
      <c r="R27" s="19"/>
      <c r="S27" s="712" t="str">
        <f>IF(org=0,"Не определено",org)</f>
        <v>ООО "Восточная Тепловая компания"</v>
      </c>
      <c r="T27" s="712"/>
      <c r="U27" s="712"/>
      <c r="V27" s="712"/>
      <c r="W27" s="712"/>
      <c r="X27" s="712"/>
      <c r="Y27" s="712"/>
      <c r="Z27" s="712"/>
      <c r="AA27" s="712"/>
      <c r="AB27" s="712"/>
      <c r="AC27" s="712"/>
      <c r="AD27" s="712"/>
      <c r="AE27" s="712"/>
      <c r="AF27" s="712"/>
      <c r="AG27" s="712"/>
      <c r="AH27" s="712"/>
      <c r="AI27" s="712"/>
      <c r="AJ27" s="712"/>
      <c r="AK27" s="40"/>
      <c r="AS27" s="4">
        <v>14</v>
      </c>
    </row>
    <row r="28" spans="1:45" ht="14.25" hidden="1" customHeight="1">
      <c r="Q28" s="19"/>
      <c r="R28" s="19"/>
      <c r="S28" s="6"/>
      <c r="T28" s="6"/>
      <c r="U28" s="6"/>
      <c r="V28" s="109"/>
      <c r="W28" s="109"/>
      <c r="X28" s="109"/>
      <c r="Y28" s="109"/>
      <c r="Z28" s="109"/>
      <c r="AA28" s="109"/>
      <c r="AB28" s="109"/>
      <c r="AC28" s="109"/>
      <c r="AD28" s="109"/>
      <c r="AE28" s="109"/>
      <c r="AF28" s="109"/>
      <c r="AG28" s="109"/>
      <c r="AH28" s="109"/>
      <c r="AI28" s="109"/>
      <c r="AJ28" s="109"/>
      <c r="AK28" s="109"/>
      <c r="AS28" s="4">
        <v>0</v>
      </c>
    </row>
    <row r="29" spans="1:45" s="22" customFormat="1" ht="25.5" hidden="1" customHeight="1">
      <c r="A29" s="4"/>
      <c r="B29" s="4"/>
      <c r="C29" s="4"/>
      <c r="D29" s="4"/>
      <c r="E29" s="4"/>
      <c r="F29" s="4"/>
      <c r="G29" s="4"/>
      <c r="H29" s="4"/>
      <c r="I29" s="4"/>
      <c r="J29" s="4"/>
      <c r="K29" s="4"/>
      <c r="L29" s="4"/>
      <c r="M29" s="4"/>
      <c r="N29" s="4"/>
      <c r="O29" s="4"/>
      <c r="S29" s="721" t="s">
        <v>42</v>
      </c>
      <c r="T29" s="721"/>
      <c r="U29" s="453"/>
      <c r="V29" s="741" t="str">
        <f>IF(TITLE_NAME_OR_PR_CHANGE="",IF(TITLE_NAME_OR_PR="","",TITLE_NAME_OR_PR),TITLE_NAME_OR_PR_CHANGE)</f>
        <v/>
      </c>
      <c r="W29" s="741"/>
      <c r="X29" s="741"/>
      <c r="Y29" s="741"/>
      <c r="Z29" s="741"/>
      <c r="AA29" s="741"/>
      <c r="AB29" s="741"/>
      <c r="AC29" s="4"/>
      <c r="AD29" s="741" t="str">
        <f>IF(TITLE_NAME_OR_PR_CHANGE="",IF(TITLE_NAME_OR_PR="","",TITLE_NAME_OR_PR),TITLE_NAME_OR_PR_CHANGE)</f>
        <v/>
      </c>
      <c r="AE29" s="741"/>
      <c r="AF29" s="741"/>
      <c r="AG29" s="741"/>
      <c r="AH29" s="741"/>
      <c r="AI29" s="741"/>
      <c r="AJ29" s="741"/>
      <c r="AK29" s="4"/>
      <c r="AL29" s="4"/>
      <c r="AM29" s="96"/>
      <c r="AN29" s="46"/>
      <c r="AO29" s="46"/>
      <c r="AP29" s="46"/>
      <c r="AQ29" s="46"/>
      <c r="AR29" s="46"/>
      <c r="AS29" s="22">
        <v>0</v>
      </c>
    </row>
    <row r="30" spans="1:45" s="22" customFormat="1" ht="18.75" hidden="1" customHeight="1">
      <c r="A30" s="4"/>
      <c r="B30" s="4"/>
      <c r="C30" s="4"/>
      <c r="D30" s="4"/>
      <c r="E30" s="4"/>
      <c r="F30" s="4"/>
      <c r="G30" s="4"/>
      <c r="H30" s="4"/>
      <c r="I30" s="4"/>
      <c r="J30" s="4"/>
      <c r="K30" s="4"/>
      <c r="L30" s="4"/>
      <c r="M30" s="4"/>
      <c r="N30" s="4"/>
      <c r="O30" s="4"/>
      <c r="S30" s="721" t="s">
        <v>426</v>
      </c>
      <c r="T30" s="721"/>
      <c r="U30" s="453"/>
      <c r="V30" s="740" t="str">
        <f>IF(TITLE_DATE_PR_CHANGE="",IF(TITLE_DATE_PR="","",TITLE_DATE_PR),TITLE_DATE_PR_CHANGE)</f>
        <v/>
      </c>
      <c r="W30" s="740"/>
      <c r="X30" s="740"/>
      <c r="Y30" s="740"/>
      <c r="Z30" s="740"/>
      <c r="AA30" s="740"/>
      <c r="AB30" s="740"/>
      <c r="AC30" s="4"/>
      <c r="AD30" s="740" t="str">
        <f>IF(TITLE_DATE_PR_CHANGE="",IF(TITLE_DATE_PR="","",TITLE_DATE_PR),TITLE_DATE_PR_CHANGE)</f>
        <v/>
      </c>
      <c r="AE30" s="740"/>
      <c r="AF30" s="740"/>
      <c r="AG30" s="740"/>
      <c r="AH30" s="740"/>
      <c r="AI30" s="740"/>
      <c r="AJ30" s="740"/>
      <c r="AK30" s="4"/>
      <c r="AL30" s="4"/>
      <c r="AM30" s="96"/>
      <c r="AN30" s="46"/>
      <c r="AO30" s="46"/>
      <c r="AP30" s="46"/>
      <c r="AQ30" s="46"/>
      <c r="AR30" s="46"/>
      <c r="AS30" s="22">
        <v>0</v>
      </c>
    </row>
    <row r="31" spans="1:45" s="22" customFormat="1" ht="18.75" hidden="1" customHeight="1">
      <c r="A31" s="4"/>
      <c r="B31" s="4"/>
      <c r="C31" s="4"/>
      <c r="D31" s="4"/>
      <c r="E31" s="4"/>
      <c r="F31" s="4"/>
      <c r="G31" s="4"/>
      <c r="H31" s="4"/>
      <c r="I31" s="4"/>
      <c r="J31" s="4"/>
      <c r="K31" s="4"/>
      <c r="L31" s="4"/>
      <c r="M31" s="4"/>
      <c r="N31" s="4"/>
      <c r="O31" s="4"/>
      <c r="S31" s="721" t="s">
        <v>427</v>
      </c>
      <c r="T31" s="721"/>
      <c r="U31" s="453"/>
      <c r="V31" s="741" t="str">
        <f>IF(TITLE_NUMBER_PR_CHANGE="",IF(TITLE_NUMBER_PR="","",TITLE_NUMBER_PR),TITLE_NUMBER_PR_CHANGE)</f>
        <v/>
      </c>
      <c r="W31" s="741"/>
      <c r="X31" s="741"/>
      <c r="Y31" s="741"/>
      <c r="Z31" s="741"/>
      <c r="AA31" s="741"/>
      <c r="AB31" s="741"/>
      <c r="AC31" s="4"/>
      <c r="AD31" s="741" t="str">
        <f>IF(TITLE_NUMBER_PR_CHANGE="",IF(TITLE_NUMBER_PR="","",TITLE_NUMBER_PR),TITLE_NUMBER_PR_CHANGE)</f>
        <v/>
      </c>
      <c r="AE31" s="741"/>
      <c r="AF31" s="741"/>
      <c r="AG31" s="741"/>
      <c r="AH31" s="741"/>
      <c r="AI31" s="741"/>
      <c r="AJ31" s="741"/>
      <c r="AK31" s="4"/>
      <c r="AL31" s="4"/>
      <c r="AM31" s="96"/>
      <c r="AN31" s="46"/>
      <c r="AO31" s="46"/>
      <c r="AP31" s="46"/>
      <c r="AQ31" s="46"/>
      <c r="AR31" s="46"/>
      <c r="AS31" s="22">
        <v>0</v>
      </c>
    </row>
    <row r="32" spans="1:45" s="22" customFormat="1" ht="18.75" hidden="1" customHeight="1">
      <c r="A32" s="4"/>
      <c r="B32" s="4"/>
      <c r="C32" s="4"/>
      <c r="D32" s="4"/>
      <c r="E32" s="4"/>
      <c r="F32" s="4"/>
      <c r="G32" s="4"/>
      <c r="H32" s="4"/>
      <c r="I32" s="4"/>
      <c r="J32" s="4"/>
      <c r="K32" s="4"/>
      <c r="L32" s="4"/>
      <c r="M32" s="4"/>
      <c r="N32" s="4"/>
      <c r="O32" s="4"/>
      <c r="S32" s="721" t="s">
        <v>43</v>
      </c>
      <c r="T32" s="721"/>
      <c r="U32" s="453"/>
      <c r="V32" s="741" t="str">
        <f>IF(TITLE_IST_PUB_CHANGE="",IF(TITLE_IST_PUB="","",TITLE_IST_PUB),TITLE_IST_PUB_CHANGE)</f>
        <v/>
      </c>
      <c r="W32" s="741"/>
      <c r="X32" s="741"/>
      <c r="Y32" s="741"/>
      <c r="Z32" s="741"/>
      <c r="AA32" s="741"/>
      <c r="AB32" s="741"/>
      <c r="AC32" s="4"/>
      <c r="AD32" s="741" t="str">
        <f>IF(TITLE_IST_PUB_CHANGE="",IF(TITLE_IST_PUB="","",TITLE_IST_PUB),TITLE_IST_PUB_CHANGE)</f>
        <v/>
      </c>
      <c r="AE32" s="741"/>
      <c r="AF32" s="741"/>
      <c r="AG32" s="741"/>
      <c r="AH32" s="741"/>
      <c r="AI32" s="741"/>
      <c r="AJ32" s="741"/>
      <c r="AK32" s="4"/>
      <c r="AL32" s="4"/>
      <c r="AM32" s="96"/>
      <c r="AN32" s="46"/>
      <c r="AO32" s="46"/>
      <c r="AP32" s="46"/>
      <c r="AQ32" s="46"/>
      <c r="AR32" s="46"/>
      <c r="AS32" s="22">
        <v>0</v>
      </c>
    </row>
    <row r="33" spans="1:45" ht="14.25" hidden="1" customHeight="1">
      <c r="Q33" s="19"/>
      <c r="R33" s="19"/>
      <c r="S33" s="6"/>
      <c r="T33" s="6"/>
      <c r="U33" s="6"/>
      <c r="V33" s="109"/>
      <c r="W33" s="109"/>
      <c r="X33" s="109"/>
      <c r="Y33" s="109"/>
      <c r="Z33" s="109"/>
      <c r="AA33" s="109"/>
      <c r="AB33" s="109"/>
      <c r="AC33" s="109"/>
      <c r="AD33" s="109"/>
      <c r="AE33" s="109"/>
      <c r="AF33" s="109"/>
      <c r="AG33" s="109"/>
      <c r="AH33" s="109"/>
      <c r="AI33" s="109"/>
      <c r="AJ33" s="109"/>
      <c r="AK33" s="109"/>
      <c r="AS33" s="4">
        <v>0</v>
      </c>
    </row>
    <row r="34" spans="1:45" s="22" customFormat="1" ht="18.75" hidden="1" customHeight="1">
      <c r="A34" s="4"/>
      <c r="B34" s="4"/>
      <c r="C34" s="4"/>
      <c r="D34" s="4"/>
      <c r="E34" s="4"/>
      <c r="F34" s="4"/>
      <c r="G34" s="4"/>
      <c r="H34" s="4"/>
      <c r="I34" s="4"/>
      <c r="J34" s="4"/>
      <c r="K34" s="4"/>
      <c r="L34" s="4"/>
      <c r="M34" s="4"/>
      <c r="N34" s="4"/>
      <c r="O34" s="4"/>
      <c r="S34" s="721" t="s">
        <v>428</v>
      </c>
      <c r="T34" s="721"/>
      <c r="U34" s="453"/>
      <c r="V34" s="740" t="str">
        <f>IF(TITLE_DATE_PR_CHANGE="",IF(TITLE_DATE_PR="","",TITLE_DATE_PR),TITLE_DATE_PR_CHANGE)</f>
        <v/>
      </c>
      <c r="W34" s="740"/>
      <c r="X34" s="740"/>
      <c r="Y34" s="740"/>
      <c r="Z34" s="740"/>
      <c r="AA34" s="740"/>
      <c r="AB34" s="740"/>
      <c r="AC34" s="4"/>
      <c r="AD34" s="740" t="str">
        <f>IF(TITLE_DATE_PR_CHANGE="",IF(TITLE_DATE_PR="","",TITLE_DATE_PR),TITLE_DATE_PR_CHANGE)</f>
        <v/>
      </c>
      <c r="AE34" s="740"/>
      <c r="AF34" s="740"/>
      <c r="AG34" s="740"/>
      <c r="AH34" s="740"/>
      <c r="AI34" s="740"/>
      <c r="AJ34" s="740"/>
      <c r="AK34" s="4"/>
      <c r="AL34" s="4"/>
      <c r="AM34" s="96"/>
      <c r="AN34" s="46"/>
      <c r="AO34" s="46"/>
      <c r="AP34" s="46"/>
      <c r="AQ34" s="46"/>
      <c r="AR34" s="46"/>
      <c r="AS34" s="22">
        <v>0</v>
      </c>
    </row>
    <row r="35" spans="1:45" s="22" customFormat="1" ht="18.75" hidden="1" customHeight="1">
      <c r="A35" s="4"/>
      <c r="B35" s="4"/>
      <c r="C35" s="4"/>
      <c r="D35" s="4"/>
      <c r="E35" s="4"/>
      <c r="F35" s="4"/>
      <c r="G35" s="4"/>
      <c r="H35" s="4"/>
      <c r="I35" s="4"/>
      <c r="J35" s="4"/>
      <c r="K35" s="4"/>
      <c r="L35" s="4"/>
      <c r="M35" s="4"/>
      <c r="N35" s="4"/>
      <c r="O35" s="4"/>
      <c r="S35" s="721" t="s">
        <v>429</v>
      </c>
      <c r="T35" s="721"/>
      <c r="U35" s="453"/>
      <c r="V35" s="741" t="str">
        <f>IF(TITLE_NUMBER_PR_CHANGE="",IF(TITLE_NUMBER_PR="","",TITLE_NUMBER_PR),TITLE_NUMBER_PR_CHANGE)</f>
        <v/>
      </c>
      <c r="W35" s="741"/>
      <c r="X35" s="741"/>
      <c r="Y35" s="741"/>
      <c r="Z35" s="741"/>
      <c r="AA35" s="741"/>
      <c r="AB35" s="741"/>
      <c r="AC35" s="4"/>
      <c r="AD35" s="741" t="str">
        <f>IF(TITLE_NUMBER_PR_CHANGE="",IF(TITLE_NUMBER_PR="","",TITLE_NUMBER_PR),TITLE_NUMBER_PR_CHANGE)</f>
        <v/>
      </c>
      <c r="AE35" s="741"/>
      <c r="AF35" s="741"/>
      <c r="AG35" s="741"/>
      <c r="AH35" s="741"/>
      <c r="AI35" s="741"/>
      <c r="AJ35" s="741"/>
      <c r="AK35" s="4"/>
      <c r="AL35" s="4"/>
      <c r="AM35" s="96"/>
      <c r="AN35" s="46"/>
      <c r="AO35" s="46"/>
      <c r="AP35" s="46"/>
      <c r="AQ35" s="46"/>
      <c r="AR35" s="46"/>
      <c r="AS35" s="22">
        <v>0</v>
      </c>
    </row>
    <row r="36" spans="1:45" s="22" customFormat="1" ht="0" hidden="1" customHeight="1">
      <c r="A36" s="4"/>
      <c r="B36" s="4"/>
      <c r="C36" s="4"/>
      <c r="D36" s="4"/>
      <c r="E36" s="4"/>
      <c r="F36" s="4"/>
      <c r="G36" s="4"/>
      <c r="H36" s="4"/>
      <c r="I36" s="4"/>
      <c r="J36" s="4"/>
      <c r="K36" s="4"/>
      <c r="L36" s="4"/>
      <c r="M36" s="4"/>
      <c r="N36" s="4"/>
      <c r="O36" s="4"/>
      <c r="S36" s="4"/>
      <c r="T36" s="4"/>
      <c r="U36" s="4"/>
      <c r="V36" s="4"/>
      <c r="W36" s="4"/>
      <c r="X36" s="4"/>
      <c r="Y36" s="4"/>
      <c r="Z36" s="4"/>
      <c r="AA36" s="4"/>
      <c r="AB36" s="4"/>
      <c r="AC36" s="46" t="s">
        <v>430</v>
      </c>
      <c r="AD36" s="4"/>
      <c r="AE36" s="4"/>
      <c r="AF36" s="4"/>
      <c r="AG36" s="4"/>
      <c r="AH36" s="4"/>
      <c r="AI36" s="4"/>
      <c r="AJ36" s="4"/>
      <c r="AK36" s="46" t="s">
        <v>430</v>
      </c>
      <c r="AN36" s="46"/>
      <c r="AO36" s="46"/>
      <c r="AP36" s="46"/>
      <c r="AQ36" s="46"/>
      <c r="AR36" s="46"/>
      <c r="AS36" s="22">
        <v>0</v>
      </c>
    </row>
    <row r="37" spans="1:45" ht="14.65" customHeight="1">
      <c r="Q37" s="19"/>
      <c r="R37" s="19"/>
      <c r="S37" s="6"/>
      <c r="T37" s="6"/>
      <c r="U37" s="420"/>
      <c r="V37" s="755"/>
      <c r="W37" s="755"/>
      <c r="X37" s="755"/>
      <c r="Y37" s="755"/>
      <c r="Z37" s="755"/>
      <c r="AA37" s="755"/>
      <c r="AB37" s="755"/>
      <c r="AC37" s="755"/>
      <c r="AD37" s="755"/>
      <c r="AE37" s="755"/>
      <c r="AF37" s="755"/>
      <c r="AG37" s="755"/>
      <c r="AH37" s="755"/>
      <c r="AI37" s="755"/>
      <c r="AJ37" s="755"/>
      <c r="AK37" s="755"/>
      <c r="AS37" s="4">
        <v>14</v>
      </c>
    </row>
    <row r="38" spans="1:45" ht="14.65" customHeight="1">
      <c r="Q38" s="19"/>
      <c r="R38" s="19"/>
      <c r="S38" s="679" t="s">
        <v>303</v>
      </c>
      <c r="T38" s="679"/>
      <c r="U38" s="679"/>
      <c r="V38" s="679"/>
      <c r="W38" s="679"/>
      <c r="X38" s="679"/>
      <c r="Y38" s="679"/>
      <c r="Z38" s="679"/>
      <c r="AA38" s="679"/>
      <c r="AB38" s="679"/>
      <c r="AC38" s="679"/>
      <c r="AD38" s="679"/>
      <c r="AE38" s="679"/>
      <c r="AF38" s="679"/>
      <c r="AG38" s="679"/>
      <c r="AH38" s="679"/>
      <c r="AI38" s="679"/>
      <c r="AJ38" s="679"/>
      <c r="AK38" s="679"/>
      <c r="AL38" s="679"/>
      <c r="AM38" s="679" t="s">
        <v>304</v>
      </c>
      <c r="AS38" s="4">
        <v>14</v>
      </c>
    </row>
    <row r="39" spans="1:45" ht="14.65" customHeight="1">
      <c r="Q39" s="19"/>
      <c r="R39" s="19"/>
      <c r="S39" s="722" t="s">
        <v>88</v>
      </c>
      <c r="T39" s="722" t="s">
        <v>431</v>
      </c>
      <c r="U39" s="100"/>
      <c r="V39" s="756" t="s">
        <v>432</v>
      </c>
      <c r="W39" s="757"/>
      <c r="X39" s="757"/>
      <c r="Y39" s="757"/>
      <c r="Z39" s="757"/>
      <c r="AA39" s="757"/>
      <c r="AB39" s="758"/>
      <c r="AC39" s="724" t="s">
        <v>433</v>
      </c>
      <c r="AD39" s="756" t="s">
        <v>432</v>
      </c>
      <c r="AE39" s="757"/>
      <c r="AF39" s="757"/>
      <c r="AG39" s="757"/>
      <c r="AH39" s="757"/>
      <c r="AI39" s="757"/>
      <c r="AJ39" s="758"/>
      <c r="AK39" s="724" t="s">
        <v>434</v>
      </c>
      <c r="AL39" s="759" t="s">
        <v>435</v>
      </c>
      <c r="AM39" s="679"/>
      <c r="AS39" s="4">
        <v>14</v>
      </c>
    </row>
    <row r="40" spans="1:45" ht="35.65" customHeight="1">
      <c r="Q40" s="19"/>
      <c r="R40" s="19"/>
      <c r="S40" s="722"/>
      <c r="T40" s="722"/>
      <c r="U40" s="349"/>
      <c r="V40" s="673" t="s">
        <v>436</v>
      </c>
      <c r="W40" s="752" t="s">
        <v>437</v>
      </c>
      <c r="X40" s="662" t="s">
        <v>438</v>
      </c>
      <c r="Y40" s="661"/>
      <c r="Z40" s="662" t="s">
        <v>452</v>
      </c>
      <c r="AA40" s="666"/>
      <c r="AB40" s="661"/>
      <c r="AC40" s="725"/>
      <c r="AD40" s="673" t="s">
        <v>436</v>
      </c>
      <c r="AE40" s="752" t="s">
        <v>437</v>
      </c>
      <c r="AF40" s="662" t="s">
        <v>438</v>
      </c>
      <c r="AG40" s="661"/>
      <c r="AH40" s="662" t="s">
        <v>439</v>
      </c>
      <c r="AI40" s="666"/>
      <c r="AJ40" s="661"/>
      <c r="AK40" s="725"/>
      <c r="AL40" s="760"/>
      <c r="AM40" s="679"/>
      <c r="AS40" s="4">
        <v>34</v>
      </c>
    </row>
    <row r="41" spans="1:45" ht="35.65" customHeight="1">
      <c r="B41" s="4" t="s">
        <v>140</v>
      </c>
      <c r="C41" s="4" t="s">
        <v>141</v>
      </c>
      <c r="D41" s="4" t="s">
        <v>142</v>
      </c>
      <c r="E41" s="4" t="s">
        <v>440</v>
      </c>
      <c r="F41" s="4" t="s">
        <v>441</v>
      </c>
      <c r="G41" s="4" t="s">
        <v>442</v>
      </c>
      <c r="H41" s="4" t="s">
        <v>443</v>
      </c>
      <c r="I41" s="4" t="s">
        <v>444</v>
      </c>
      <c r="J41" s="4" t="s">
        <v>445</v>
      </c>
      <c r="K41" s="4" t="s">
        <v>446</v>
      </c>
      <c r="L41" s="4" t="s">
        <v>421</v>
      </c>
      <c r="Q41" s="19"/>
      <c r="R41" s="19"/>
      <c r="S41" s="722"/>
      <c r="T41" s="722"/>
      <c r="U41" s="101"/>
      <c r="V41" s="676"/>
      <c r="W41" s="753"/>
      <c r="X41" s="27" t="s">
        <v>447</v>
      </c>
      <c r="Y41" s="27" t="s">
        <v>448</v>
      </c>
      <c r="Z41" s="27" t="s">
        <v>449</v>
      </c>
      <c r="AA41" s="728" t="s">
        <v>450</v>
      </c>
      <c r="AB41" s="734"/>
      <c r="AC41" s="726"/>
      <c r="AD41" s="676"/>
      <c r="AE41" s="753"/>
      <c r="AF41" s="27" t="s">
        <v>447</v>
      </c>
      <c r="AG41" s="27" t="s">
        <v>448</v>
      </c>
      <c r="AH41" s="27" t="s">
        <v>449</v>
      </c>
      <c r="AI41" s="728" t="s">
        <v>450</v>
      </c>
      <c r="AJ41" s="734"/>
      <c r="AK41" s="726"/>
      <c r="AL41" s="761"/>
      <c r="AM41" s="679"/>
      <c r="AS41" s="4">
        <v>34</v>
      </c>
    </row>
    <row r="42" spans="1:45" s="117" customFormat="1" ht="11.25" hidden="1" customHeight="1">
      <c r="A42" s="4"/>
      <c r="B42" s="4"/>
      <c r="C42" s="4"/>
      <c r="D42" s="4"/>
      <c r="E42" s="4"/>
      <c r="F42" s="4"/>
      <c r="G42" s="4"/>
      <c r="H42" s="4"/>
      <c r="I42" s="4"/>
      <c r="J42" s="4"/>
      <c r="K42" s="4"/>
      <c r="L42" s="4"/>
      <c r="M42" s="23"/>
      <c r="N42" s="23"/>
      <c r="O42" s="23"/>
      <c r="P42" s="178"/>
      <c r="Q42" s="422"/>
      <c r="R42" s="424">
        <v>1</v>
      </c>
      <c r="S42" s="425" t="s">
        <v>110</v>
      </c>
      <c r="T42" s="425" t="s">
        <v>111</v>
      </c>
      <c r="U42" s="421" t="str">
        <f ca="1">OFFSET(U42,0,-1)</f>
        <v>2</v>
      </c>
      <c r="V42" s="426">
        <f ca="1">OFFSET(V42,0,-1)+1</f>
        <v>3</v>
      </c>
      <c r="W42" s="426"/>
      <c r="X42" s="426">
        <f ca="1">OFFSET(X42,0,-1)+1</f>
        <v>1</v>
      </c>
      <c r="Y42" s="426">
        <f ca="1">OFFSET(Y42,0,-1)+1</f>
        <v>2</v>
      </c>
      <c r="Z42" s="426">
        <f ca="1">OFFSET(Z42,0,-1)+1</f>
        <v>3</v>
      </c>
      <c r="AA42" s="754">
        <f ca="1">OFFSET(AA42,0,-1)+1</f>
        <v>4</v>
      </c>
      <c r="AB42" s="754"/>
      <c r="AC42" s="426">
        <f ca="1">OFFSET(AC42,0,-2)+1</f>
        <v>5</v>
      </c>
      <c r="AD42" s="426">
        <f ca="1">OFFSET(AD42,0,-1)+1</f>
        <v>6</v>
      </c>
      <c r="AE42" s="426"/>
      <c r="AF42" s="426">
        <f ca="1">OFFSET(AF42,0,-1)+1</f>
        <v>1</v>
      </c>
      <c r="AG42" s="426">
        <f ca="1">OFFSET(AG42,0,-1)+1</f>
        <v>2</v>
      </c>
      <c r="AH42" s="426">
        <f ca="1">OFFSET(AH42,0,-1)+1</f>
        <v>3</v>
      </c>
      <c r="AI42" s="754">
        <f ca="1">OFFSET(AI42,0,-1)+1</f>
        <v>4</v>
      </c>
      <c r="AJ42" s="754"/>
      <c r="AK42" s="426">
        <f ca="1">OFFSET(AK42,0,-2)+1</f>
        <v>5</v>
      </c>
      <c r="AL42" s="421">
        <f ca="1">OFFSET(AL42,0,-1)</f>
        <v>5</v>
      </c>
      <c r="AM42" s="426">
        <f ca="1">OFFSET(AM42,0,-1)+1</f>
        <v>6</v>
      </c>
      <c r="AN42" s="46"/>
      <c r="AO42" s="46"/>
      <c r="AP42" s="46"/>
      <c r="AQ42" s="46"/>
      <c r="AR42" s="46"/>
      <c r="AS42" s="117">
        <v>0</v>
      </c>
    </row>
    <row r="43" spans="1:45" ht="21.95" customHeight="1">
      <c r="A43" s="4" t="s">
        <v>215</v>
      </c>
      <c r="E43" s="679">
        <v>1</v>
      </c>
      <c r="M43" s="4"/>
      <c r="N43" s="4"/>
      <c r="O43" s="4"/>
      <c r="Q43" s="4"/>
      <c r="R43" s="119"/>
      <c r="S43" s="24">
        <f>INDEX(PT_DIFFERENTIATION_NUM_NTAR,MATCH(A43,PT_DIFFERENTIATION_NTAR_ID,0))</f>
        <v>0</v>
      </c>
      <c r="T43" s="29" t="s">
        <v>128</v>
      </c>
      <c r="U43" s="29"/>
      <c r="V43" s="742"/>
      <c r="W43" s="743"/>
      <c r="X43" s="743"/>
      <c r="Y43" s="743"/>
      <c r="Z43" s="743"/>
      <c r="AA43" s="743"/>
      <c r="AB43" s="743"/>
      <c r="AC43" s="744"/>
      <c r="AD43" s="742" t="str">
        <f>INDEX(PT_DIFFERENTIATION_NTAR,MATCH(A43,PT_DIFFERENTIATION_NTAR_ID,0))</f>
        <v/>
      </c>
      <c r="AE43" s="743"/>
      <c r="AF43" s="743"/>
      <c r="AG43" s="743"/>
      <c r="AH43" s="743"/>
      <c r="AI43" s="743"/>
      <c r="AJ43" s="743"/>
      <c r="AK43" s="743"/>
      <c r="AL43" s="744"/>
      <c r="AM43" s="42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P43" s="46" t="str">
        <f t="shared" ref="AP43:AP57" si="1">IF(T43="","",T43)</f>
        <v>Наименование тарифа</v>
      </c>
      <c r="AS43" s="4">
        <v>21</v>
      </c>
    </row>
    <row r="44" spans="1:45" ht="21.95" customHeight="1">
      <c r="A44" s="4" t="s">
        <v>215</v>
      </c>
      <c r="B44" s="4" t="s">
        <v>216</v>
      </c>
      <c r="E44" s="662"/>
      <c r="F44" s="679">
        <v>1</v>
      </c>
      <c r="M44" s="4"/>
      <c r="N44" s="4"/>
      <c r="O44" s="4"/>
      <c r="P44" s="4"/>
      <c r="Q44" s="118"/>
      <c r="R44" s="119"/>
      <c r="S44" s="24" t="str">
        <f>INDEX(PT_DIFFERENTIATION_NUM_TER,MATCH(B44,PT_DIFFERENTIATION_TER_ID,0))</f>
        <v>.</v>
      </c>
      <c r="T44" s="24" t="s">
        <v>400</v>
      </c>
      <c r="U44" s="29"/>
      <c r="V44" s="742"/>
      <c r="W44" s="743"/>
      <c r="X44" s="743"/>
      <c r="Y44" s="743"/>
      <c r="Z44" s="743"/>
      <c r="AA44" s="743"/>
      <c r="AB44" s="743"/>
      <c r="AC44" s="744"/>
      <c r="AD44" s="742" t="str">
        <f>INDEX(PT_DIFFERENTIATION_TER,MATCH(B44,PT_DIFFERENTIATION_TER_ID,0))</f>
        <v/>
      </c>
      <c r="AE44" s="743"/>
      <c r="AF44" s="743"/>
      <c r="AG44" s="743"/>
      <c r="AH44" s="743"/>
      <c r="AI44" s="743"/>
      <c r="AJ44" s="743"/>
      <c r="AK44" s="743"/>
      <c r="AL44" s="744"/>
      <c r="AM44" s="428" t="s">
        <v>401</v>
      </c>
      <c r="AP44" s="46" t="str">
        <f t="shared" si="1"/>
        <v>Территория действия тарифа</v>
      </c>
      <c r="AS44" s="4">
        <v>21</v>
      </c>
    </row>
    <row r="45" spans="1:45" ht="24" customHeight="1">
      <c r="A45" s="4" t="s">
        <v>215</v>
      </c>
      <c r="B45" s="4" t="s">
        <v>216</v>
      </c>
      <c r="C45" s="4" t="s">
        <v>217</v>
      </c>
      <c r="E45" s="662"/>
      <c r="F45" s="662"/>
      <c r="G45" s="679">
        <v>1</v>
      </c>
      <c r="M45" s="4"/>
      <c r="N45" s="4"/>
      <c r="O45" s="4"/>
      <c r="P45" s="16"/>
      <c r="Q45" s="118"/>
      <c r="R45" s="119"/>
      <c r="S45" s="24" t="str">
        <f>INDEX(PT_DIFFERENTIATION_NUM_CS,MATCH(C45,PT_DIFFERENTIATION_CS_ID,0))</f>
        <v>..</v>
      </c>
      <c r="T45" s="24" t="s">
        <v>402</v>
      </c>
      <c r="U45" s="29"/>
      <c r="V45" s="742"/>
      <c r="W45" s="743"/>
      <c r="X45" s="743"/>
      <c r="Y45" s="743"/>
      <c r="Z45" s="743"/>
      <c r="AA45" s="743"/>
      <c r="AB45" s="743"/>
      <c r="AC45" s="744"/>
      <c r="AD45" s="742" t="str">
        <f>INDEX(PT_DIFFERENTIATION_CS,MATCH(C45,PT_DIFFERENTIATION_CS_ID,0))</f>
        <v/>
      </c>
      <c r="AE45" s="743"/>
      <c r="AF45" s="743"/>
      <c r="AG45" s="743"/>
      <c r="AH45" s="743"/>
      <c r="AI45" s="743"/>
      <c r="AJ45" s="743"/>
      <c r="AK45" s="743"/>
      <c r="AL45" s="744"/>
      <c r="AM45" s="428" t="s">
        <v>403</v>
      </c>
      <c r="AP45" s="46" t="str">
        <f t="shared" si="1"/>
        <v xml:space="preserve">Наименование системы теплоснабжения </v>
      </c>
      <c r="AS45" s="4">
        <v>23</v>
      </c>
    </row>
    <row r="46" spans="1:45" ht="21.95" customHeight="1">
      <c r="A46" s="4" t="s">
        <v>215</v>
      </c>
      <c r="B46" s="4" t="s">
        <v>216</v>
      </c>
      <c r="C46" s="4" t="s">
        <v>217</v>
      </c>
      <c r="D46" s="4" t="s">
        <v>218</v>
      </c>
      <c r="E46" s="662"/>
      <c r="F46" s="662"/>
      <c r="G46" s="662"/>
      <c r="H46" s="679">
        <v>1</v>
      </c>
      <c r="M46" s="4"/>
      <c r="N46" s="4"/>
      <c r="O46" s="4"/>
      <c r="P46" s="16"/>
      <c r="Q46" s="118"/>
      <c r="R46" s="119"/>
      <c r="S46" s="24" t="str">
        <f>INDEX(PT_DIFFERENTIATION_NUM_IST_TE,MATCH(D46,PT_DIFFERENTIATION_IST_TE_ID,0))</f>
        <v>...</v>
      </c>
      <c r="T46" s="24" t="s">
        <v>404</v>
      </c>
      <c r="U46" s="29"/>
      <c r="V46" s="742"/>
      <c r="W46" s="743"/>
      <c r="X46" s="743"/>
      <c r="Y46" s="743"/>
      <c r="Z46" s="743"/>
      <c r="AA46" s="743"/>
      <c r="AB46" s="743"/>
      <c r="AC46" s="744"/>
      <c r="AD46" s="742" t="str">
        <f>INDEX(PT_DIFFERENTIATION_IST_TE,MATCH(D46,PT_DIFFERENTIATION_IST_TE_ID,0))</f>
        <v/>
      </c>
      <c r="AE46" s="743"/>
      <c r="AF46" s="743"/>
      <c r="AG46" s="743"/>
      <c r="AH46" s="743"/>
      <c r="AI46" s="743"/>
      <c r="AJ46" s="743"/>
      <c r="AK46" s="743"/>
      <c r="AL46" s="744"/>
      <c r="AM46" s="428" t="s">
        <v>405</v>
      </c>
      <c r="AP46" s="46" t="str">
        <f t="shared" si="1"/>
        <v xml:space="preserve">Источник тепловой энергии  </v>
      </c>
      <c r="AS46" s="4">
        <v>21</v>
      </c>
    </row>
    <row r="47" spans="1:45" ht="49.5" customHeight="1">
      <c r="A47" s="4" t="s">
        <v>215</v>
      </c>
      <c r="B47" s="4" t="s">
        <v>216</v>
      </c>
      <c r="C47" s="4" t="s">
        <v>217</v>
      </c>
      <c r="D47" s="4" t="s">
        <v>218</v>
      </c>
      <c r="E47" s="662"/>
      <c r="F47" s="662"/>
      <c r="G47" s="662"/>
      <c r="H47" s="662"/>
      <c r="I47" s="679" t="str">
        <f>S46&amp;".1"</f>
        <v>....1</v>
      </c>
      <c r="L47" s="4" t="s">
        <v>406</v>
      </c>
      <c r="P47" s="748">
        <v>1</v>
      </c>
      <c r="Q47" s="46"/>
      <c r="R47" s="120"/>
      <c r="S47" s="24" t="str">
        <f>$I47</f>
        <v>....1</v>
      </c>
      <c r="T47" s="24" t="s">
        <v>407</v>
      </c>
      <c r="U47" s="29"/>
      <c r="V47" s="737"/>
      <c r="W47" s="738"/>
      <c r="X47" s="738"/>
      <c r="Y47" s="738"/>
      <c r="Z47" s="738"/>
      <c r="AA47" s="738"/>
      <c r="AB47" s="738"/>
      <c r="AC47" s="739"/>
      <c r="AD47" s="737"/>
      <c r="AE47" s="738"/>
      <c r="AF47" s="738"/>
      <c r="AG47" s="738"/>
      <c r="AH47" s="738"/>
      <c r="AI47" s="738"/>
      <c r="AJ47" s="738"/>
      <c r="AK47" s="738"/>
      <c r="AL47" s="739"/>
      <c r="AM47" s="428" t="s">
        <v>408</v>
      </c>
      <c r="AP47" s="46" t="str">
        <f t="shared" si="1"/>
        <v>Схема подключения теплопотребляющей установки к коллектору источника тепловой энергии</v>
      </c>
      <c r="AS47" s="4">
        <v>47</v>
      </c>
    </row>
    <row r="48" spans="1:45" ht="21.95" customHeight="1">
      <c r="A48" s="4" t="s">
        <v>215</v>
      </c>
      <c r="B48" s="4" t="s">
        <v>216</v>
      </c>
      <c r="C48" s="4" t="s">
        <v>217</v>
      </c>
      <c r="D48" s="4" t="s">
        <v>218</v>
      </c>
      <c r="E48" s="662"/>
      <c r="F48" s="662"/>
      <c r="G48" s="662"/>
      <c r="H48" s="662"/>
      <c r="I48" s="662"/>
      <c r="J48" s="679" t="str">
        <f>I47&amp;".1"</f>
        <v>....1.1</v>
      </c>
      <c r="L48" s="4" t="s">
        <v>409</v>
      </c>
      <c r="P48" s="748"/>
      <c r="Q48" s="748">
        <v>1</v>
      </c>
      <c r="R48" s="120"/>
      <c r="S48" s="24" t="str">
        <f>$J48</f>
        <v>....1.1</v>
      </c>
      <c r="T48" s="24" t="s">
        <v>410</v>
      </c>
      <c r="U48" s="29"/>
      <c r="V48" s="737"/>
      <c r="W48" s="738"/>
      <c r="X48" s="738"/>
      <c r="Y48" s="738"/>
      <c r="Z48" s="738"/>
      <c r="AA48" s="738"/>
      <c r="AB48" s="738"/>
      <c r="AC48" s="739"/>
      <c r="AD48" s="737"/>
      <c r="AE48" s="738"/>
      <c r="AF48" s="738"/>
      <c r="AG48" s="738"/>
      <c r="AH48" s="738"/>
      <c r="AI48" s="738"/>
      <c r="AJ48" s="738"/>
      <c r="AK48" s="738"/>
      <c r="AL48" s="739"/>
      <c r="AM48" s="428" t="s">
        <v>411</v>
      </c>
      <c r="AP48" s="46" t="str">
        <f t="shared" si="1"/>
        <v>Группа потребителей</v>
      </c>
      <c r="AS48" s="4">
        <v>21</v>
      </c>
    </row>
    <row r="49" spans="1:45" ht="21.95" customHeight="1">
      <c r="A49" s="4" t="s">
        <v>215</v>
      </c>
      <c r="B49" s="4" t="s">
        <v>216</v>
      </c>
      <c r="C49" s="4" t="s">
        <v>217</v>
      </c>
      <c r="D49" s="4" t="s">
        <v>218</v>
      </c>
      <c r="E49" s="662"/>
      <c r="F49" s="662"/>
      <c r="G49" s="662"/>
      <c r="H49" s="662"/>
      <c r="I49" s="662"/>
      <c r="J49" s="662"/>
      <c r="K49" s="679" t="str">
        <f>J48&amp;".1"</f>
        <v>....1.1.1</v>
      </c>
      <c r="L49" s="4" t="s">
        <v>412</v>
      </c>
      <c r="P49" s="748"/>
      <c r="Q49" s="748"/>
      <c r="R49" s="120">
        <v>1</v>
      </c>
      <c r="S49" s="24" t="str">
        <f>$K49</f>
        <v>....1.1.1</v>
      </c>
      <c r="T49" s="356"/>
      <c r="U49" s="29"/>
      <c r="V49" s="168"/>
      <c r="W49" s="110"/>
      <c r="X49" s="168"/>
      <c r="Y49" s="427"/>
      <c r="Z49" s="749"/>
      <c r="AA49" s="688" t="s">
        <v>66</v>
      </c>
      <c r="AB49" s="749"/>
      <c r="AC49" s="688" t="s">
        <v>66</v>
      </c>
      <c r="AD49" s="168"/>
      <c r="AE49" s="110"/>
      <c r="AF49" s="168"/>
      <c r="AG49" s="427"/>
      <c r="AH49" s="749"/>
      <c r="AI49" s="688" t="s">
        <v>66</v>
      </c>
      <c r="AJ49" s="750"/>
      <c r="AK49" s="688" t="s">
        <v>66</v>
      </c>
      <c r="AL49" s="345"/>
      <c r="AM49" s="762" t="s">
        <v>413</v>
      </c>
      <c r="AN49" s="46" t="e">
        <f ca="1">STRCHECKDATE(V50:AL50)</f>
        <v>#NAME?</v>
      </c>
      <c r="AP49" s="46" t="str">
        <f t="shared" si="1"/>
        <v/>
      </c>
      <c r="AS49" s="4">
        <v>21</v>
      </c>
    </row>
    <row r="50" spans="1:45" ht="1.1499999999999999" customHeight="1">
      <c r="A50" s="4" t="s">
        <v>215</v>
      </c>
      <c r="B50" s="4" t="s">
        <v>216</v>
      </c>
      <c r="C50" s="4" t="s">
        <v>217</v>
      </c>
      <c r="D50" s="4" t="s">
        <v>218</v>
      </c>
      <c r="E50" s="662"/>
      <c r="F50" s="662"/>
      <c r="G50" s="662"/>
      <c r="H50" s="662"/>
      <c r="I50" s="662"/>
      <c r="J50" s="662"/>
      <c r="K50" s="679"/>
      <c r="P50" s="748"/>
      <c r="Q50" s="748"/>
      <c r="R50" s="120"/>
      <c r="S50" s="31"/>
      <c r="T50" s="29"/>
      <c r="U50" s="29"/>
      <c r="V50" s="110"/>
      <c r="W50" s="110"/>
      <c r="X50" s="110"/>
      <c r="Y50" s="111" t="str">
        <f>Z49&amp;"-"&amp;AB49</f>
        <v>-</v>
      </c>
      <c r="Z50" s="707"/>
      <c r="AA50" s="688"/>
      <c r="AB50" s="707"/>
      <c r="AC50" s="688"/>
      <c r="AD50" s="110"/>
      <c r="AE50" s="110"/>
      <c r="AF50" s="110"/>
      <c r="AG50" s="111" t="str">
        <f>AH49&amp;"-"&amp;AJ49</f>
        <v>-</v>
      </c>
      <c r="AH50" s="707"/>
      <c r="AI50" s="688"/>
      <c r="AJ50" s="751"/>
      <c r="AK50" s="688"/>
      <c r="AL50" s="450"/>
      <c r="AM50" s="763"/>
      <c r="AP50" s="46" t="str">
        <f t="shared" si="1"/>
        <v/>
      </c>
      <c r="AS50" s="4">
        <v>1</v>
      </c>
    </row>
    <row r="51" spans="1:45" ht="11.45" customHeight="1">
      <c r="A51" s="4" t="s">
        <v>215</v>
      </c>
      <c r="B51" s="4" t="s">
        <v>216</v>
      </c>
      <c r="C51" s="4" t="s">
        <v>217</v>
      </c>
      <c r="D51" s="4" t="s">
        <v>218</v>
      </c>
      <c r="E51" s="662"/>
      <c r="F51" s="662"/>
      <c r="G51" s="662"/>
      <c r="H51" s="662"/>
      <c r="I51" s="662"/>
      <c r="J51" s="679"/>
      <c r="P51" s="748"/>
      <c r="Q51" s="748"/>
      <c r="R51" s="120"/>
      <c r="S51" s="434"/>
      <c r="T51" s="37" t="s">
        <v>414</v>
      </c>
      <c r="U51" s="58"/>
      <c r="V51" s="58"/>
      <c r="W51" s="58"/>
      <c r="X51" s="58"/>
      <c r="Y51" s="58"/>
      <c r="Z51" s="58"/>
      <c r="AA51" s="58"/>
      <c r="AB51" s="58"/>
      <c r="AC51" s="58"/>
      <c r="AD51" s="58"/>
      <c r="AE51" s="58"/>
      <c r="AF51" s="58"/>
      <c r="AG51" s="58"/>
      <c r="AH51" s="58"/>
      <c r="AI51" s="58"/>
      <c r="AJ51" s="58"/>
      <c r="AK51" s="58"/>
      <c r="AL51" s="59"/>
      <c r="AM51" s="764"/>
      <c r="AP51" s="46" t="str">
        <f t="shared" si="1"/>
        <v>Добавить вид теплоносителя (параметры теплоносителя)</v>
      </c>
      <c r="AS51" s="4">
        <v>11</v>
      </c>
    </row>
    <row r="52" spans="1:45" ht="11.45" customHeight="1">
      <c r="A52" s="4" t="s">
        <v>215</v>
      </c>
      <c r="B52" s="4" t="s">
        <v>216</v>
      </c>
      <c r="C52" s="4" t="s">
        <v>217</v>
      </c>
      <c r="D52" s="4" t="s">
        <v>218</v>
      </c>
      <c r="E52" s="662"/>
      <c r="F52" s="662"/>
      <c r="G52" s="662"/>
      <c r="H52" s="662"/>
      <c r="I52" s="679"/>
      <c r="P52" s="748"/>
      <c r="Q52" s="46"/>
      <c r="R52" s="120"/>
      <c r="S52" s="434"/>
      <c r="T52" s="37" t="s">
        <v>415</v>
      </c>
      <c r="U52" s="58"/>
      <c r="V52" s="58"/>
      <c r="W52" s="58"/>
      <c r="X52" s="58"/>
      <c r="Y52" s="58"/>
      <c r="Z52" s="58"/>
      <c r="AA52" s="58"/>
      <c r="AB52" s="58"/>
      <c r="AC52" s="54"/>
      <c r="AD52" s="58"/>
      <c r="AE52" s="58"/>
      <c r="AF52" s="58"/>
      <c r="AG52" s="58"/>
      <c r="AH52" s="58"/>
      <c r="AI52" s="58"/>
      <c r="AJ52" s="58"/>
      <c r="AK52" s="54"/>
      <c r="AL52" s="58"/>
      <c r="AM52" s="102"/>
      <c r="AP52" s="46" t="str">
        <f t="shared" si="1"/>
        <v>Добавить группу потребителей</v>
      </c>
      <c r="AS52" s="4">
        <v>11</v>
      </c>
    </row>
    <row r="53" spans="1:45" ht="14.65" customHeight="1">
      <c r="A53" s="4" t="s">
        <v>215</v>
      </c>
      <c r="B53" s="4" t="s">
        <v>216</v>
      </c>
      <c r="C53" s="4" t="s">
        <v>217</v>
      </c>
      <c r="D53" s="4" t="s">
        <v>218</v>
      </c>
      <c r="E53" s="662"/>
      <c r="F53" s="662"/>
      <c r="G53" s="662"/>
      <c r="H53" s="679"/>
      <c r="M53" s="4"/>
      <c r="N53" s="4"/>
      <c r="O53" s="4"/>
      <c r="P53" s="4"/>
      <c r="R53" s="119"/>
      <c r="S53" s="434"/>
      <c r="T53" s="37" t="s">
        <v>416</v>
      </c>
      <c r="U53" s="58"/>
      <c r="V53" s="58"/>
      <c r="W53" s="58"/>
      <c r="X53" s="58"/>
      <c r="Y53" s="58"/>
      <c r="Z53" s="58"/>
      <c r="AA53" s="58"/>
      <c r="AB53" s="58"/>
      <c r="AC53" s="54"/>
      <c r="AD53" s="58"/>
      <c r="AE53" s="58"/>
      <c r="AF53" s="58"/>
      <c r="AG53" s="58"/>
      <c r="AH53" s="58"/>
      <c r="AI53" s="58"/>
      <c r="AJ53" s="58"/>
      <c r="AK53" s="54"/>
      <c r="AL53" s="58"/>
      <c r="AM53" s="102"/>
      <c r="AP53" s="46" t="str">
        <f t="shared" si="1"/>
        <v>Добавить схему подключения</v>
      </c>
      <c r="AS53" s="4">
        <v>14</v>
      </c>
    </row>
    <row r="54" spans="1:45" s="46" customFormat="1" ht="1.1499999999999999" customHeight="1">
      <c r="A54" s="4" t="s">
        <v>215</v>
      </c>
      <c r="B54" s="4" t="s">
        <v>216</v>
      </c>
      <c r="C54" s="4" t="s">
        <v>217</v>
      </c>
      <c r="D54" s="4"/>
      <c r="E54" s="662"/>
      <c r="F54" s="662"/>
      <c r="G54" s="679"/>
      <c r="H54" s="4"/>
      <c r="I54" s="4"/>
      <c r="J54" s="4"/>
      <c r="K54" s="4"/>
      <c r="L54" s="4"/>
      <c r="M54" s="4"/>
      <c r="N54" s="4"/>
      <c r="O54" s="4"/>
      <c r="Q54" s="446"/>
      <c r="S54" s="449"/>
      <c r="T54" s="160" t="s">
        <v>417</v>
      </c>
      <c r="U54" s="160"/>
      <c r="V54" s="160"/>
      <c r="W54" s="160"/>
      <c r="X54" s="160"/>
      <c r="Y54" s="160"/>
      <c r="Z54" s="160"/>
      <c r="AA54" s="160"/>
      <c r="AB54" s="160"/>
      <c r="AC54" s="160"/>
      <c r="AD54" s="160"/>
      <c r="AE54" s="160"/>
      <c r="AF54" s="160"/>
      <c r="AG54" s="160"/>
      <c r="AH54" s="160"/>
      <c r="AI54" s="160"/>
      <c r="AJ54" s="160"/>
      <c r="AK54" s="160"/>
      <c r="AL54" s="160"/>
      <c r="AM54" s="160"/>
      <c r="AP54" s="46" t="str">
        <f t="shared" si="1"/>
        <v>Добавить источник для дифференциации</v>
      </c>
      <c r="AS54" s="46">
        <v>1</v>
      </c>
    </row>
    <row r="55" spans="1:45" s="46" customFormat="1" ht="1.1499999999999999" customHeight="1">
      <c r="A55" s="4" t="s">
        <v>215</v>
      </c>
      <c r="B55" s="4" t="s">
        <v>216</v>
      </c>
      <c r="C55" s="4"/>
      <c r="D55" s="4"/>
      <c r="E55" s="662"/>
      <c r="F55" s="679"/>
      <c r="G55" s="4"/>
      <c r="H55" s="4"/>
      <c r="I55" s="4"/>
      <c r="J55" s="4"/>
      <c r="K55" s="4"/>
      <c r="L55" s="4"/>
      <c r="M55" s="23"/>
      <c r="N55" s="23"/>
      <c r="O55" s="4"/>
      <c r="Q55" s="446"/>
      <c r="S55" s="449"/>
      <c r="T55" s="160" t="s">
        <v>418</v>
      </c>
      <c r="U55" s="160"/>
      <c r="V55" s="160"/>
      <c r="W55" s="160"/>
      <c r="X55" s="160"/>
      <c r="Y55" s="160"/>
      <c r="Z55" s="160"/>
      <c r="AA55" s="160"/>
      <c r="AB55" s="160"/>
      <c r="AC55" s="160"/>
      <c r="AD55" s="160"/>
      <c r="AE55" s="160"/>
      <c r="AF55" s="160"/>
      <c r="AG55" s="160"/>
      <c r="AH55" s="160"/>
      <c r="AI55" s="160"/>
      <c r="AJ55" s="160"/>
      <c r="AK55" s="160"/>
      <c r="AL55" s="160"/>
      <c r="AM55" s="160"/>
      <c r="AP55" s="46" t="str">
        <f t="shared" si="1"/>
        <v>Добавить централизованную систему для дифференциации</v>
      </c>
      <c r="AS55" s="46">
        <v>1</v>
      </c>
    </row>
    <row r="56" spans="1:45" s="46" customFormat="1" ht="1.1499999999999999" customHeight="1">
      <c r="A56" s="4" t="s">
        <v>215</v>
      </c>
      <c r="B56" s="4"/>
      <c r="C56" s="4"/>
      <c r="D56" s="4"/>
      <c r="E56" s="679"/>
      <c r="F56" s="4"/>
      <c r="G56" s="4"/>
      <c r="H56" s="4"/>
      <c r="I56" s="4"/>
      <c r="J56" s="4"/>
      <c r="K56" s="4"/>
      <c r="L56" s="4"/>
      <c r="M56" s="23"/>
      <c r="N56" s="23"/>
      <c r="O56" s="4"/>
      <c r="Q56" s="446"/>
      <c r="S56" s="449"/>
      <c r="T56" s="160" t="s">
        <v>419</v>
      </c>
      <c r="U56" s="160"/>
      <c r="V56" s="160"/>
      <c r="W56" s="160"/>
      <c r="X56" s="160"/>
      <c r="Y56" s="160"/>
      <c r="Z56" s="160"/>
      <c r="AA56" s="160"/>
      <c r="AB56" s="160"/>
      <c r="AC56" s="160"/>
      <c r="AD56" s="160"/>
      <c r="AE56" s="160"/>
      <c r="AF56" s="160"/>
      <c r="AG56" s="160"/>
      <c r="AH56" s="160"/>
      <c r="AI56" s="160"/>
      <c r="AJ56" s="160"/>
      <c r="AK56" s="160"/>
      <c r="AL56" s="160"/>
      <c r="AM56" s="160"/>
      <c r="AP56" s="46" t="str">
        <f t="shared" si="1"/>
        <v>Добавить территорию для дифференциации</v>
      </c>
      <c r="AS56" s="46">
        <v>1</v>
      </c>
    </row>
    <row r="57" spans="1:45" s="46" customFormat="1" ht="1.1499999999999999" customHeight="1">
      <c r="A57" s="4"/>
      <c r="B57" s="4"/>
      <c r="C57" s="4"/>
      <c r="D57" s="4"/>
      <c r="E57" s="4"/>
      <c r="F57" s="4"/>
      <c r="G57" s="4"/>
      <c r="H57" s="4"/>
      <c r="I57" s="4"/>
      <c r="J57" s="4"/>
      <c r="K57" s="4"/>
      <c r="L57" s="4"/>
      <c r="M57" s="23"/>
      <c r="N57" s="23"/>
      <c r="O57" s="4"/>
      <c r="Q57" s="446"/>
      <c r="S57" s="449"/>
      <c r="T57" s="160" t="s">
        <v>451</v>
      </c>
      <c r="U57" s="160"/>
      <c r="V57" s="160"/>
      <c r="W57" s="160"/>
      <c r="X57" s="160"/>
      <c r="Y57" s="160"/>
      <c r="Z57" s="160"/>
      <c r="AA57" s="160"/>
      <c r="AB57" s="160"/>
      <c r="AC57" s="160"/>
      <c r="AD57" s="160"/>
      <c r="AE57" s="160"/>
      <c r="AF57" s="160"/>
      <c r="AG57" s="160"/>
      <c r="AH57" s="160"/>
      <c r="AI57" s="160"/>
      <c r="AJ57" s="160"/>
      <c r="AK57" s="160"/>
      <c r="AL57" s="160"/>
      <c r="AM57" s="160"/>
      <c r="AP57" s="46" t="str">
        <f t="shared" si="1"/>
        <v>Добавить наименование тарифа</v>
      </c>
      <c r="AS57" s="46">
        <v>1</v>
      </c>
    </row>
    <row r="58" spans="1:45" ht="11.45" customHeight="1">
      <c r="M58" s="4"/>
      <c r="N58" s="4"/>
      <c r="O58" s="4"/>
      <c r="P58" s="4"/>
      <c r="Q58" s="4"/>
      <c r="R58" s="4"/>
      <c r="AN58" s="4"/>
      <c r="AO58" s="4"/>
      <c r="AP58" s="4"/>
      <c r="AQ58" s="4"/>
      <c r="AR58" s="4"/>
      <c r="AS58" s="4">
        <v>11</v>
      </c>
    </row>
    <row r="59" spans="1:45" ht="28.5" customHeight="1">
      <c r="O59" s="4"/>
      <c r="T59" s="665"/>
      <c r="U59" s="665"/>
      <c r="V59" s="665"/>
      <c r="W59" s="665"/>
      <c r="X59" s="665"/>
      <c r="Y59" s="665"/>
      <c r="Z59" s="665"/>
      <c r="AA59" s="665"/>
      <c r="AB59" s="665"/>
      <c r="AC59" s="665"/>
      <c r="AD59" s="665"/>
      <c r="AE59" s="665"/>
      <c r="AF59" s="665"/>
      <c r="AG59" s="665"/>
      <c r="AH59" s="665"/>
      <c r="AI59" s="665"/>
      <c r="AJ59" s="665"/>
      <c r="AK59" s="665"/>
      <c r="AL59" s="665"/>
      <c r="AM59" s="665"/>
      <c r="AS59" s="4">
        <v>27</v>
      </c>
    </row>
    <row r="60" spans="1:45" ht="65.25" customHeight="1">
      <c r="O60" s="4"/>
      <c r="T60" s="665"/>
      <c r="U60" s="665"/>
      <c r="V60" s="665"/>
      <c r="W60" s="665"/>
      <c r="X60" s="665"/>
      <c r="Y60" s="665"/>
      <c r="Z60" s="665"/>
      <c r="AA60" s="665"/>
      <c r="AB60" s="665"/>
      <c r="AC60" s="665"/>
      <c r="AD60" s="665"/>
      <c r="AE60" s="665"/>
      <c r="AF60" s="665"/>
      <c r="AG60" s="665"/>
      <c r="AH60" s="665"/>
      <c r="AI60" s="665"/>
      <c r="AJ60" s="665"/>
      <c r="AK60" s="665"/>
      <c r="AL60" s="665"/>
      <c r="AM60" s="665"/>
      <c r="AS60" s="4">
        <v>62</v>
      </c>
    </row>
    <row r="61" spans="1:45" ht="14.65" customHeight="1">
      <c r="O61" s="4"/>
      <c r="AS61" s="4">
        <v>14</v>
      </c>
    </row>
    <row r="62" spans="1:45" ht="18.75" customHeight="1">
      <c r="O62" s="4"/>
      <c r="T62" s="665"/>
      <c r="U62" s="665"/>
      <c r="V62" s="665"/>
      <c r="W62" s="665"/>
      <c r="X62" s="665"/>
      <c r="Y62" s="665"/>
      <c r="Z62" s="665"/>
      <c r="AA62" s="665"/>
      <c r="AB62" s="665"/>
      <c r="AC62" s="665"/>
      <c r="AD62" s="665"/>
      <c r="AE62" s="665"/>
      <c r="AF62" s="665"/>
      <c r="AG62" s="665"/>
      <c r="AH62" s="665"/>
      <c r="AI62" s="665"/>
      <c r="AJ62" s="665"/>
      <c r="AK62" s="665"/>
      <c r="AL62" s="665"/>
      <c r="AM62" s="665"/>
      <c r="AS62" s="4">
        <v>18</v>
      </c>
    </row>
    <row r="63" spans="1:45" ht="18.75" customHeight="1">
      <c r="O63" s="4"/>
      <c r="T63" s="665"/>
      <c r="U63" s="665"/>
      <c r="V63" s="665"/>
      <c r="W63" s="665"/>
      <c r="X63" s="665"/>
      <c r="Y63" s="665"/>
      <c r="Z63" s="665"/>
      <c r="AA63" s="665"/>
      <c r="AB63" s="665"/>
      <c r="AC63" s="665"/>
      <c r="AD63" s="665"/>
      <c r="AE63" s="665"/>
      <c r="AF63" s="665"/>
      <c r="AG63" s="665"/>
      <c r="AH63" s="665"/>
      <c r="AI63" s="665"/>
      <c r="AJ63" s="665"/>
      <c r="AK63" s="665"/>
      <c r="AL63" s="665"/>
      <c r="AM63" s="665"/>
      <c r="AS63" s="4">
        <v>18</v>
      </c>
    </row>
    <row r="64" spans="1:45" ht="29.25" customHeight="1">
      <c r="O64" s="4"/>
      <c r="T64" s="665"/>
      <c r="U64" s="665"/>
      <c r="V64" s="665"/>
      <c r="W64" s="665"/>
      <c r="X64" s="665"/>
      <c r="Y64" s="665"/>
      <c r="Z64" s="665"/>
      <c r="AA64" s="665"/>
      <c r="AB64" s="665"/>
      <c r="AC64" s="665"/>
      <c r="AD64" s="665"/>
      <c r="AE64" s="665"/>
      <c r="AF64" s="665"/>
      <c r="AG64" s="665"/>
      <c r="AH64" s="665"/>
      <c r="AI64" s="665"/>
      <c r="AJ64" s="665"/>
      <c r="AK64" s="665"/>
      <c r="AL64" s="665"/>
      <c r="AM64" s="665"/>
      <c r="AS64" s="4">
        <v>28</v>
      </c>
    </row>
    <row r="65" spans="1:45" ht="22.5" hidden="1" customHeight="1">
      <c r="A65" s="4" t="s">
        <v>82</v>
      </c>
      <c r="B65" s="4">
        <v>0</v>
      </c>
      <c r="C65" s="4">
        <v>0</v>
      </c>
      <c r="D65" s="4">
        <v>0</v>
      </c>
      <c r="E65" s="4">
        <v>0</v>
      </c>
      <c r="F65" s="4">
        <v>0</v>
      </c>
      <c r="G65" s="4">
        <v>0</v>
      </c>
      <c r="H65" s="4">
        <v>0</v>
      </c>
      <c r="I65" s="4">
        <v>0</v>
      </c>
      <c r="J65" s="4">
        <v>0</v>
      </c>
      <c r="K65" s="4">
        <v>0</v>
      </c>
      <c r="L65" s="4">
        <v>0</v>
      </c>
      <c r="M65" s="23">
        <v>0</v>
      </c>
      <c r="N65" s="23">
        <v>0</v>
      </c>
      <c r="O65" s="23">
        <v>0</v>
      </c>
      <c r="P65" s="23">
        <v>3</v>
      </c>
      <c r="Q65" s="20">
        <v>3</v>
      </c>
      <c r="R65" s="20">
        <v>3</v>
      </c>
      <c r="S65" s="4">
        <v>12</v>
      </c>
      <c r="T65" s="4">
        <v>31</v>
      </c>
      <c r="U65" s="4">
        <v>0</v>
      </c>
      <c r="V65" s="4">
        <v>0</v>
      </c>
      <c r="W65" s="4">
        <v>0</v>
      </c>
      <c r="X65" s="4">
        <v>0</v>
      </c>
      <c r="Y65" s="4">
        <v>0</v>
      </c>
      <c r="Z65" s="4">
        <v>0</v>
      </c>
      <c r="AA65" s="4">
        <v>0</v>
      </c>
      <c r="AB65" s="4">
        <v>0</v>
      </c>
      <c r="AC65" s="4">
        <v>0</v>
      </c>
      <c r="AD65" s="4">
        <v>24</v>
      </c>
      <c r="AE65" s="4">
        <v>0</v>
      </c>
      <c r="AF65" s="4">
        <v>24</v>
      </c>
      <c r="AG65" s="4">
        <v>24</v>
      </c>
      <c r="AH65" s="4">
        <v>11</v>
      </c>
      <c r="AI65" s="4">
        <v>3</v>
      </c>
      <c r="AJ65" s="4">
        <v>11</v>
      </c>
      <c r="AK65" s="4">
        <v>0</v>
      </c>
      <c r="AL65" s="4">
        <v>4</v>
      </c>
      <c r="AM65" s="4">
        <v>115</v>
      </c>
      <c r="AN65" s="46">
        <v>10</v>
      </c>
      <c r="AO65" s="46">
        <v>10</v>
      </c>
      <c r="AP65" s="46">
        <v>10</v>
      </c>
      <c r="AQ65" s="46">
        <v>10</v>
      </c>
      <c r="AR65" s="46">
        <v>10</v>
      </c>
      <c r="AS65" s="4">
        <v>23</v>
      </c>
    </row>
  </sheetData>
  <sheetProtection insertRows="0" deleteColumns="0" deleteRows="0" sort="0" autoFilter="0"/>
  <mergeCells count="112">
    <mergeCell ref="T63:AM63"/>
    <mergeCell ref="T64:AM64"/>
    <mergeCell ref="AJ49:AJ50"/>
    <mergeCell ref="AK49:AK50"/>
    <mergeCell ref="AM49:AM51"/>
    <mergeCell ref="T59:AM59"/>
    <mergeCell ref="T60:AM60"/>
    <mergeCell ref="T62:AM62"/>
    <mergeCell ref="Q48:Q51"/>
    <mergeCell ref="V48:AC48"/>
    <mergeCell ref="AD48:AL48"/>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V37:AC37"/>
    <mergeCell ref="AD37:AK37"/>
    <mergeCell ref="S38:AL38"/>
    <mergeCell ref="AM38:AM41"/>
    <mergeCell ref="S39:S41"/>
    <mergeCell ref="T39:T41"/>
    <mergeCell ref="V39:AB39"/>
    <mergeCell ref="AC39:AC41"/>
    <mergeCell ref="AD39:AJ39"/>
    <mergeCell ref="AK39:AK41"/>
    <mergeCell ref="S34:T34"/>
    <mergeCell ref="V34:AB34"/>
    <mergeCell ref="AD34:AJ34"/>
    <mergeCell ref="S35:T35"/>
    <mergeCell ref="V35:AB35"/>
    <mergeCell ref="AD35:AJ35"/>
    <mergeCell ref="S31:T31"/>
    <mergeCell ref="V31:AB31"/>
    <mergeCell ref="AD31:AJ31"/>
    <mergeCell ref="S32:T32"/>
    <mergeCell ref="V32:AB32"/>
    <mergeCell ref="AD32:AJ32"/>
    <mergeCell ref="S26:AJ26"/>
    <mergeCell ref="S27:AJ27"/>
    <mergeCell ref="S29:T29"/>
    <mergeCell ref="V29:AB29"/>
    <mergeCell ref="AD29:AJ29"/>
    <mergeCell ref="S30:T30"/>
    <mergeCell ref="V30:AB30"/>
    <mergeCell ref="AD30:AJ30"/>
    <mergeCell ref="AI8:AI9"/>
    <mergeCell ref="AJ8:AJ9"/>
    <mergeCell ref="AM8:AM10"/>
    <mergeCell ref="AH17:AH18"/>
    <mergeCell ref="AI17:AI18"/>
    <mergeCell ref="AJ17:AJ18"/>
    <mergeCell ref="AK17:AK18"/>
    <mergeCell ref="K8:K9"/>
    <mergeCell ref="Z8:Z9"/>
    <mergeCell ref="AA8:AA9"/>
    <mergeCell ref="AB8:AB9"/>
    <mergeCell ref="AC8:AC9"/>
    <mergeCell ref="AH8:AH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xr:uid="{00000000-0002-0000-0D00-00000000000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xr:uid="{00000000-0002-0000-0D00-00000100000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xr:uid="{00000000-0002-0000-0D00-000002000000}"/>
    <dataValidation type="list" allowBlank="1" showInputMessage="1" showErrorMessage="1" errorTitle="Ошибка" error="Выберите значение из списка" sqref="T65585 T131121 T196657 T262193 T327729 T393265 T458801 T524337 T589873 T655409 T720945 T786481 T852017 T917553 T983089" xr:uid="{00000000-0002-0000-0D00-000003000000}">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xr:uid="{00000000-0002-0000-0D00-00000400000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xr:uid="{00000000-0002-0000-0D00-000005000000}">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xr:uid="{00000000-0002-0000-0D00-000006000000}"/>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xr:uid="{00000000-0002-0000-0D00-000007000000}">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5B3E67-1D51-A3B3-93E9-68E3091A9198}">
  <sheetPr>
    <tabColor theme="6" tint="0.39997558519241921"/>
  </sheetPr>
  <dimension ref="A1:AS65"/>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43" hidden="1"/>
    <col min="2" max="2" width="11" style="43" hidden="1" customWidth="1"/>
    <col min="3" max="3" width="10.5703125" style="43" hidden="1"/>
    <col min="4" max="4" width="11.85546875" style="43" hidden="1" customWidth="1"/>
    <col min="5" max="5" width="10" style="43" hidden="1" customWidth="1"/>
    <col min="6" max="6" width="8.7109375" style="43" hidden="1" customWidth="1"/>
    <col min="7" max="7" width="7.5703125" style="43" hidden="1" customWidth="1"/>
    <col min="8" max="8" width="11.42578125" style="43" hidden="1" customWidth="1"/>
    <col min="9" max="9" width="12" style="43" hidden="1" customWidth="1"/>
    <col min="10" max="10" width="9.85546875" style="43" hidden="1" customWidth="1"/>
    <col min="11" max="11" width="11.42578125" style="43" hidden="1" customWidth="1"/>
    <col min="12" max="12" width="19.140625" style="43" hidden="1" customWidth="1"/>
    <col min="13" max="14" width="12.28515625" style="167" hidden="1" customWidth="1"/>
    <col min="15" max="15" width="23.42578125" style="167" hidden="1" customWidth="1"/>
    <col min="16" max="16" width="3" style="23" customWidth="1"/>
    <col min="17" max="18" width="3" style="20" customWidth="1"/>
    <col min="19" max="19" width="12" style="4" customWidth="1"/>
    <col min="20" max="20" width="31" style="4" customWidth="1"/>
    <col min="21" max="21" width="0.7109375" style="4" hidden="1" customWidth="1"/>
    <col min="22" max="22" width="1.7109375" style="4" hidden="1" customWidth="1"/>
    <col min="23" max="23" width="24.7109375" style="4" hidden="1" customWidth="1"/>
    <col min="24" max="25" width="0.140625" style="4" hidden="1" customWidth="1"/>
    <col min="26" max="26" width="11.7109375" style="4" hidden="1" customWidth="1"/>
    <col min="27" max="27" width="3.7109375" style="4" hidden="1" customWidth="1"/>
    <col min="28" max="28" width="11.7109375" style="4" hidden="1" customWidth="1"/>
    <col min="29" max="29" width="8.5703125" style="4" hidden="1" customWidth="1"/>
    <col min="30" max="30" width="0.140625" style="4" customWidth="1"/>
    <col min="31" max="31" width="24" style="4" customWidth="1"/>
    <col min="32" max="33" width="0.140625" style="4" customWidth="1"/>
    <col min="34" max="34" width="11" style="4" customWidth="1"/>
    <col min="35" max="35" width="3.7109375" style="4" customWidth="1"/>
    <col min="36" max="36" width="11" style="4" customWidth="1"/>
    <col min="37" max="37" width="8.5703125" style="4" hidden="1" customWidth="1"/>
    <col min="38" max="38" width="4" style="4" customWidth="1"/>
    <col min="39" max="39" width="115" style="4" customWidth="1"/>
    <col min="40" max="44" width="10" style="46" customWidth="1"/>
    <col min="45" max="45" width="10.5703125" style="4" hidden="1"/>
  </cols>
  <sheetData>
    <row r="1" spans="5:45" ht="22.5" hidden="1" customHeight="1">
      <c r="AS1" s="4" t="s">
        <v>14</v>
      </c>
    </row>
    <row r="2" spans="5:45" ht="21" hidden="1" customHeight="1">
      <c r="E2" s="745">
        <v>1</v>
      </c>
      <c r="M2" s="43"/>
      <c r="N2" s="43"/>
      <c r="O2" s="43"/>
      <c r="Q2" s="4"/>
      <c r="R2" s="119"/>
      <c r="S2" s="24" t="e">
        <f>INDEX(PT_DIFFERENTIATION_NUM_NTAR,MATCH(A2,PT_DIFFERENTIATION_NTAR_ID,0))</f>
        <v>#N/A</v>
      </c>
      <c r="T2" s="29" t="s">
        <v>128</v>
      </c>
      <c r="U2" s="29"/>
      <c r="V2" s="742"/>
      <c r="W2" s="743"/>
      <c r="X2" s="743"/>
      <c r="Y2" s="743"/>
      <c r="Z2" s="743"/>
      <c r="AA2" s="743"/>
      <c r="AB2" s="743"/>
      <c r="AC2" s="744"/>
      <c r="AD2" s="742" t="e">
        <f>INDEX(PT_DIFFERENTIATION_NTAR,MATCH(A2,PT_DIFFERENTIATION_NTAR_ID,0))</f>
        <v>#N/A</v>
      </c>
      <c r="AE2" s="743"/>
      <c r="AF2" s="743"/>
      <c r="AG2" s="743"/>
      <c r="AH2" s="743"/>
      <c r="AI2" s="743"/>
      <c r="AJ2" s="743"/>
      <c r="AK2" s="743"/>
      <c r="AL2" s="744"/>
      <c r="AM2" s="428" t="s">
        <v>399</v>
      </c>
      <c r="AP2" s="46" t="str">
        <f t="shared" ref="AP2:AP15" si="0">IF(T2="","",T2)</f>
        <v>Наименование тарифа</v>
      </c>
      <c r="AS2" s="4">
        <v>0</v>
      </c>
    </row>
    <row r="3" spans="5:45" ht="21" hidden="1" customHeight="1">
      <c r="E3" s="747"/>
      <c r="F3" s="745">
        <v>1</v>
      </c>
      <c r="M3" s="43"/>
      <c r="N3" s="43"/>
      <c r="O3" s="43"/>
      <c r="P3" s="4"/>
      <c r="Q3" s="118"/>
      <c r="R3" s="119"/>
      <c r="S3" s="24" t="e">
        <f>INDEX(PT_DIFFERENTIATION_NUM_TER,MATCH(B3,PT_DIFFERENTIATION_TER_ID,0))</f>
        <v>#N/A</v>
      </c>
      <c r="T3" s="24" t="s">
        <v>400</v>
      </c>
      <c r="U3" s="29"/>
      <c r="V3" s="742"/>
      <c r="W3" s="743"/>
      <c r="X3" s="743"/>
      <c r="Y3" s="743"/>
      <c r="Z3" s="743"/>
      <c r="AA3" s="743"/>
      <c r="AB3" s="743"/>
      <c r="AC3" s="744"/>
      <c r="AD3" s="742" t="e">
        <f>INDEX(PT_DIFFERENTIATION_TER,MATCH(B3,PT_DIFFERENTIATION_TER_ID,0))</f>
        <v>#N/A</v>
      </c>
      <c r="AE3" s="743"/>
      <c r="AF3" s="743"/>
      <c r="AG3" s="743"/>
      <c r="AH3" s="743"/>
      <c r="AI3" s="743"/>
      <c r="AJ3" s="743"/>
      <c r="AK3" s="743"/>
      <c r="AL3" s="744"/>
      <c r="AM3" s="428" t="s">
        <v>401</v>
      </c>
      <c r="AP3" s="46" t="str">
        <f t="shared" si="0"/>
        <v>Территория действия тарифа</v>
      </c>
      <c r="AS3" s="4">
        <v>0</v>
      </c>
    </row>
    <row r="4" spans="5:45" ht="23.25" hidden="1" customHeight="1">
      <c r="E4" s="747"/>
      <c r="F4" s="747"/>
      <c r="G4" s="745">
        <v>1</v>
      </c>
      <c r="M4" s="43"/>
      <c r="N4" s="43"/>
      <c r="O4" s="43"/>
      <c r="P4" s="16"/>
      <c r="Q4" s="118"/>
      <c r="R4" s="119"/>
      <c r="S4" s="24" t="e">
        <f>INDEX(PT_DIFFERENTIATION_NUM_CS,MATCH(C4,PT_DIFFERENTIATION_CS_ID,0))</f>
        <v>#N/A</v>
      </c>
      <c r="T4" s="24" t="s">
        <v>402</v>
      </c>
      <c r="U4" s="29"/>
      <c r="V4" s="742"/>
      <c r="W4" s="743"/>
      <c r="X4" s="743"/>
      <c r="Y4" s="743"/>
      <c r="Z4" s="743"/>
      <c r="AA4" s="743"/>
      <c r="AB4" s="743"/>
      <c r="AC4" s="744"/>
      <c r="AD4" s="742" t="e">
        <f>INDEX(PT_DIFFERENTIATION_CS,MATCH(C4,PT_DIFFERENTIATION_CS_ID,0))</f>
        <v>#N/A</v>
      </c>
      <c r="AE4" s="743"/>
      <c r="AF4" s="743"/>
      <c r="AG4" s="743"/>
      <c r="AH4" s="743"/>
      <c r="AI4" s="743"/>
      <c r="AJ4" s="743"/>
      <c r="AK4" s="743"/>
      <c r="AL4" s="744"/>
      <c r="AM4" s="428" t="s">
        <v>403</v>
      </c>
      <c r="AP4" s="46" t="str">
        <f t="shared" si="0"/>
        <v xml:space="preserve">Наименование системы теплоснабжения </v>
      </c>
      <c r="AS4" s="4">
        <v>0</v>
      </c>
    </row>
    <row r="5" spans="5:45" ht="21" hidden="1" customHeight="1">
      <c r="E5" s="747"/>
      <c r="F5" s="747"/>
      <c r="G5" s="747"/>
      <c r="H5" s="745">
        <v>1</v>
      </c>
      <c r="M5" s="43"/>
      <c r="N5" s="43"/>
      <c r="O5" s="43"/>
      <c r="P5" s="16"/>
      <c r="Q5" s="118"/>
      <c r="R5" s="119"/>
      <c r="S5" s="24" t="e">
        <f>INDEX(PT_DIFFERENTIATION_NUM_IST_TE,MATCH(D5,PT_DIFFERENTIATION_IST_TE_ID,0))</f>
        <v>#N/A</v>
      </c>
      <c r="T5" s="24" t="s">
        <v>404</v>
      </c>
      <c r="U5" s="29"/>
      <c r="V5" s="742"/>
      <c r="W5" s="743"/>
      <c r="X5" s="743"/>
      <c r="Y5" s="743"/>
      <c r="Z5" s="743"/>
      <c r="AA5" s="743"/>
      <c r="AB5" s="743"/>
      <c r="AC5" s="744"/>
      <c r="AD5" s="742" t="e">
        <f>INDEX(PT_DIFFERENTIATION_IST_TE,MATCH(D5,PT_DIFFERENTIATION_IST_TE_ID,0))</f>
        <v>#N/A</v>
      </c>
      <c r="AE5" s="743"/>
      <c r="AF5" s="743"/>
      <c r="AG5" s="743"/>
      <c r="AH5" s="743"/>
      <c r="AI5" s="743"/>
      <c r="AJ5" s="743"/>
      <c r="AK5" s="743"/>
      <c r="AL5" s="744"/>
      <c r="AM5" s="428" t="s">
        <v>405</v>
      </c>
      <c r="AP5" s="46" t="str">
        <f t="shared" si="0"/>
        <v xml:space="preserve">Источник тепловой энергии  </v>
      </c>
      <c r="AS5" s="4">
        <v>0</v>
      </c>
    </row>
    <row r="6" spans="5:45" ht="47.25" hidden="1" customHeight="1">
      <c r="E6" s="747"/>
      <c r="F6" s="747"/>
      <c r="G6" s="747"/>
      <c r="H6" s="747"/>
      <c r="I6" s="745" t="e">
        <f>S5&amp;".1"</f>
        <v>#N/A</v>
      </c>
      <c r="L6" s="43" t="s">
        <v>406</v>
      </c>
      <c r="M6" s="43"/>
      <c r="P6" s="748">
        <v>1</v>
      </c>
      <c r="Q6" s="46"/>
      <c r="R6" s="120"/>
      <c r="S6" s="24" t="e">
        <f>$I6</f>
        <v>#N/A</v>
      </c>
      <c r="T6" s="24" t="s">
        <v>407</v>
      </c>
      <c r="U6" s="29"/>
      <c r="V6" s="737"/>
      <c r="W6" s="738"/>
      <c r="X6" s="738"/>
      <c r="Y6" s="738"/>
      <c r="Z6" s="738"/>
      <c r="AA6" s="738"/>
      <c r="AB6" s="738"/>
      <c r="AC6" s="739"/>
      <c r="AD6" s="737"/>
      <c r="AE6" s="738"/>
      <c r="AF6" s="738"/>
      <c r="AG6" s="738"/>
      <c r="AH6" s="738"/>
      <c r="AI6" s="738"/>
      <c r="AJ6" s="738"/>
      <c r="AK6" s="738"/>
      <c r="AL6" s="739"/>
      <c r="AM6" s="428" t="s">
        <v>408</v>
      </c>
      <c r="AP6" s="46" t="str">
        <f t="shared" si="0"/>
        <v>Схема подключения теплопотребляющей установки к коллектору источника тепловой энергии</v>
      </c>
      <c r="AS6" s="4">
        <v>0</v>
      </c>
    </row>
    <row r="7" spans="5:45" ht="21" hidden="1" customHeight="1">
      <c r="E7" s="747"/>
      <c r="F7" s="747"/>
      <c r="G7" s="747"/>
      <c r="H7" s="747"/>
      <c r="I7" s="747"/>
      <c r="J7" s="745" t="e">
        <f>I6&amp;".1"</f>
        <v>#N/A</v>
      </c>
      <c r="L7" s="43" t="s">
        <v>409</v>
      </c>
      <c r="M7" s="43"/>
      <c r="N7" s="43"/>
      <c r="P7" s="748"/>
      <c r="Q7" s="748">
        <v>1</v>
      </c>
      <c r="R7" s="120"/>
      <c r="S7" s="24" t="e">
        <f>$J7</f>
        <v>#N/A</v>
      </c>
      <c r="T7" s="24" t="s">
        <v>410</v>
      </c>
      <c r="U7" s="29"/>
      <c r="V7" s="737"/>
      <c r="W7" s="738"/>
      <c r="X7" s="738"/>
      <c r="Y7" s="738"/>
      <c r="Z7" s="738"/>
      <c r="AA7" s="738"/>
      <c r="AB7" s="738"/>
      <c r="AC7" s="739"/>
      <c r="AD7" s="737"/>
      <c r="AE7" s="738"/>
      <c r="AF7" s="738"/>
      <c r="AG7" s="738"/>
      <c r="AH7" s="738"/>
      <c r="AI7" s="738"/>
      <c r="AJ7" s="738"/>
      <c r="AK7" s="738"/>
      <c r="AL7" s="739"/>
      <c r="AM7" s="428" t="s">
        <v>411</v>
      </c>
      <c r="AP7" s="46" t="str">
        <f t="shared" si="0"/>
        <v>Группа потребителей</v>
      </c>
      <c r="AS7" s="4">
        <v>0</v>
      </c>
    </row>
    <row r="8" spans="5:45" ht="21" hidden="1" customHeight="1">
      <c r="E8" s="747"/>
      <c r="F8" s="747"/>
      <c r="G8" s="747"/>
      <c r="H8" s="747"/>
      <c r="I8" s="747"/>
      <c r="J8" s="747"/>
      <c r="K8" s="745" t="e">
        <f>J7&amp;".1"</f>
        <v>#N/A</v>
      </c>
      <c r="L8" s="43" t="s">
        <v>412</v>
      </c>
      <c r="M8" s="43"/>
      <c r="N8" s="43"/>
      <c r="O8" s="43"/>
      <c r="P8" s="748"/>
      <c r="Q8" s="748"/>
      <c r="R8" s="120">
        <v>1</v>
      </c>
      <c r="S8" s="24" t="e">
        <f>$K8</f>
        <v>#N/A</v>
      </c>
      <c r="T8" s="356"/>
      <c r="U8" s="29"/>
      <c r="V8" s="110"/>
      <c r="W8" s="168"/>
      <c r="X8" s="110"/>
      <c r="Y8" s="123"/>
      <c r="Z8" s="749"/>
      <c r="AA8" s="688" t="s">
        <v>66</v>
      </c>
      <c r="AB8" s="749"/>
      <c r="AC8" s="688" t="s">
        <v>66</v>
      </c>
      <c r="AD8" s="110"/>
      <c r="AE8" s="168"/>
      <c r="AF8" s="110"/>
      <c r="AG8" s="123"/>
      <c r="AH8" s="749"/>
      <c r="AI8" s="688" t="s">
        <v>66</v>
      </c>
      <c r="AJ8" s="749"/>
      <c r="AK8" s="688" t="s">
        <v>66</v>
      </c>
      <c r="AL8" s="110"/>
      <c r="AM8" s="762" t="s">
        <v>413</v>
      </c>
      <c r="AN8" s="46" t="e">
        <f ca="1">STRCHECKDATE(V9:AL9)</f>
        <v>#NAME?</v>
      </c>
      <c r="AP8" s="46" t="str">
        <f t="shared" si="0"/>
        <v/>
      </c>
      <c r="AS8" s="4">
        <v>0</v>
      </c>
    </row>
    <row r="9" spans="5:45" ht="0.75" hidden="1" customHeight="1">
      <c r="E9" s="747"/>
      <c r="F9" s="747"/>
      <c r="G9" s="747"/>
      <c r="H9" s="747"/>
      <c r="I9" s="747"/>
      <c r="J9" s="747"/>
      <c r="K9" s="745"/>
      <c r="M9" s="43"/>
      <c r="N9" s="43"/>
      <c r="O9" s="43"/>
      <c r="P9" s="748"/>
      <c r="Q9" s="748"/>
      <c r="R9" s="120"/>
      <c r="S9" s="31"/>
      <c r="T9" s="29"/>
      <c r="U9" s="29"/>
      <c r="V9" s="110"/>
      <c r="W9" s="110"/>
      <c r="X9" s="110"/>
      <c r="Y9" s="111" t="str">
        <f>Z8&amp;"-"&amp;AB8</f>
        <v>-</v>
      </c>
      <c r="Z9" s="707"/>
      <c r="AA9" s="688"/>
      <c r="AB9" s="707"/>
      <c r="AC9" s="688"/>
      <c r="AD9" s="110"/>
      <c r="AE9" s="110"/>
      <c r="AF9" s="110"/>
      <c r="AG9" s="111" t="str">
        <f>AH8&amp;"-"&amp;AJ8</f>
        <v>-</v>
      </c>
      <c r="AH9" s="707"/>
      <c r="AI9" s="688"/>
      <c r="AJ9" s="707"/>
      <c r="AK9" s="688"/>
      <c r="AL9" s="110"/>
      <c r="AM9" s="763"/>
      <c r="AP9" s="46" t="str">
        <f t="shared" si="0"/>
        <v/>
      </c>
      <c r="AS9" s="4">
        <v>0</v>
      </c>
    </row>
    <row r="10" spans="5:45" ht="15" hidden="1" customHeight="1">
      <c r="E10" s="747"/>
      <c r="F10" s="747"/>
      <c r="G10" s="747"/>
      <c r="H10" s="747"/>
      <c r="I10" s="747"/>
      <c r="J10" s="745"/>
      <c r="M10" s="43"/>
      <c r="N10" s="43"/>
      <c r="P10" s="748"/>
      <c r="Q10" s="748"/>
      <c r="R10" s="120"/>
      <c r="S10" s="434"/>
      <c r="T10" s="37" t="s">
        <v>414</v>
      </c>
      <c r="U10" s="58"/>
      <c r="V10" s="58"/>
      <c r="W10" s="58"/>
      <c r="X10" s="58"/>
      <c r="Y10" s="58"/>
      <c r="Z10" s="58"/>
      <c r="AA10" s="58"/>
      <c r="AB10" s="58"/>
      <c r="AC10" s="58"/>
      <c r="AD10" s="58"/>
      <c r="AE10" s="58"/>
      <c r="AF10" s="58"/>
      <c r="AG10" s="58"/>
      <c r="AH10" s="58"/>
      <c r="AI10" s="58"/>
      <c r="AJ10" s="58"/>
      <c r="AK10" s="58"/>
      <c r="AL10" s="59"/>
      <c r="AM10" s="764"/>
      <c r="AP10" s="46" t="str">
        <f t="shared" si="0"/>
        <v>Добавить вид теплоносителя (параметры теплоносителя)</v>
      </c>
      <c r="AS10" s="4">
        <v>0</v>
      </c>
    </row>
    <row r="11" spans="5:45" ht="15" hidden="1" customHeight="1">
      <c r="E11" s="747"/>
      <c r="F11" s="747"/>
      <c r="G11" s="747"/>
      <c r="H11" s="747"/>
      <c r="I11" s="745"/>
      <c r="M11" s="43"/>
      <c r="P11" s="748"/>
      <c r="Q11" s="46"/>
      <c r="R11" s="120"/>
      <c r="S11" s="434"/>
      <c r="T11" s="37" t="s">
        <v>415</v>
      </c>
      <c r="U11" s="58"/>
      <c r="V11" s="58"/>
      <c r="W11" s="58"/>
      <c r="X11" s="58"/>
      <c r="Y11" s="58"/>
      <c r="Z11" s="58"/>
      <c r="AA11" s="58"/>
      <c r="AB11" s="58"/>
      <c r="AC11" s="54"/>
      <c r="AD11" s="58"/>
      <c r="AE11" s="58"/>
      <c r="AF11" s="58"/>
      <c r="AG11" s="58"/>
      <c r="AH11" s="58"/>
      <c r="AI11" s="58"/>
      <c r="AJ11" s="58"/>
      <c r="AK11" s="54"/>
      <c r="AL11" s="58"/>
      <c r="AM11" s="102"/>
      <c r="AP11" s="46" t="str">
        <f t="shared" si="0"/>
        <v>Добавить группу потребителей</v>
      </c>
      <c r="AS11" s="4">
        <v>0</v>
      </c>
    </row>
    <row r="12" spans="5:45" ht="14.25" hidden="1" customHeight="1">
      <c r="E12" s="747"/>
      <c r="F12" s="747"/>
      <c r="G12" s="747"/>
      <c r="H12" s="745"/>
      <c r="M12" s="43"/>
      <c r="N12" s="43"/>
      <c r="O12" s="43"/>
      <c r="P12" s="4"/>
      <c r="R12" s="119"/>
      <c r="S12" s="434"/>
      <c r="T12" s="37" t="s">
        <v>416</v>
      </c>
      <c r="U12" s="58"/>
      <c r="V12" s="58"/>
      <c r="W12" s="58"/>
      <c r="X12" s="58"/>
      <c r="Y12" s="58"/>
      <c r="Z12" s="58"/>
      <c r="AA12" s="58"/>
      <c r="AB12" s="58"/>
      <c r="AC12" s="54"/>
      <c r="AD12" s="58"/>
      <c r="AE12" s="58"/>
      <c r="AF12" s="58"/>
      <c r="AG12" s="58"/>
      <c r="AH12" s="58"/>
      <c r="AI12" s="58"/>
      <c r="AJ12" s="58"/>
      <c r="AK12" s="54"/>
      <c r="AL12" s="58"/>
      <c r="AM12" s="102"/>
      <c r="AP12" s="46" t="str">
        <f t="shared" si="0"/>
        <v>Добавить схему подключения</v>
      </c>
      <c r="AS12" s="4">
        <v>0</v>
      </c>
    </row>
    <row r="13" spans="5:45" s="46" customFormat="1" ht="0.75" hidden="1" customHeight="1">
      <c r="E13" s="747"/>
      <c r="F13" s="747"/>
      <c r="G13" s="745"/>
      <c r="Q13" s="446"/>
      <c r="S13" s="447"/>
      <c r="T13" s="448" t="s">
        <v>417</v>
      </c>
      <c r="U13" s="448"/>
      <c r="V13" s="448"/>
      <c r="W13" s="448"/>
      <c r="X13" s="448"/>
      <c r="Y13" s="448"/>
      <c r="Z13" s="448"/>
      <c r="AA13" s="448"/>
      <c r="AB13" s="448"/>
      <c r="AC13" s="448"/>
      <c r="AD13" s="448"/>
      <c r="AE13" s="448"/>
      <c r="AF13" s="448"/>
      <c r="AG13" s="448"/>
      <c r="AH13" s="448"/>
      <c r="AI13" s="448"/>
      <c r="AJ13" s="448"/>
      <c r="AK13" s="448"/>
      <c r="AL13" s="448"/>
      <c r="AM13" s="448"/>
      <c r="AP13" s="46" t="str">
        <f t="shared" si="0"/>
        <v>Добавить источник для дифференциации</v>
      </c>
      <c r="AS13" s="46">
        <v>0</v>
      </c>
    </row>
    <row r="14" spans="5:45" s="46" customFormat="1" ht="0.75" hidden="1" customHeight="1">
      <c r="E14" s="747"/>
      <c r="F14" s="745"/>
      <c r="M14" s="160"/>
      <c r="N14" s="160"/>
      <c r="Q14" s="446"/>
      <c r="S14" s="449"/>
      <c r="T14" s="160" t="s">
        <v>418</v>
      </c>
      <c r="U14" s="160"/>
      <c r="V14" s="160"/>
      <c r="W14" s="160"/>
      <c r="X14" s="160"/>
      <c r="Y14" s="160"/>
      <c r="Z14" s="160"/>
      <c r="AA14" s="160"/>
      <c r="AB14" s="160"/>
      <c r="AC14" s="160"/>
      <c r="AD14" s="160"/>
      <c r="AE14" s="160"/>
      <c r="AF14" s="160"/>
      <c r="AG14" s="160"/>
      <c r="AH14" s="160"/>
      <c r="AI14" s="160"/>
      <c r="AJ14" s="160"/>
      <c r="AK14" s="160"/>
      <c r="AL14" s="160"/>
      <c r="AM14" s="160"/>
      <c r="AP14" s="46" t="str">
        <f t="shared" si="0"/>
        <v>Добавить централизованную систему для дифференциации</v>
      </c>
      <c r="AS14" s="46">
        <v>0</v>
      </c>
    </row>
    <row r="15" spans="5:45" s="46" customFormat="1" ht="0.75" hidden="1" customHeight="1">
      <c r="E15" s="745"/>
      <c r="M15" s="160"/>
      <c r="N15" s="160"/>
      <c r="Q15" s="446"/>
      <c r="S15" s="449"/>
      <c r="T15" s="160" t="s">
        <v>419</v>
      </c>
      <c r="U15" s="160"/>
      <c r="V15" s="160"/>
      <c r="W15" s="160"/>
      <c r="X15" s="160"/>
      <c r="Y15" s="160"/>
      <c r="Z15" s="160"/>
      <c r="AA15" s="160"/>
      <c r="AB15" s="160"/>
      <c r="AC15" s="160"/>
      <c r="AD15" s="160"/>
      <c r="AE15" s="160"/>
      <c r="AF15" s="160"/>
      <c r="AG15" s="160"/>
      <c r="AH15" s="160"/>
      <c r="AI15" s="160"/>
      <c r="AJ15" s="160"/>
      <c r="AK15" s="160"/>
      <c r="AL15" s="160"/>
      <c r="AM15" s="160"/>
      <c r="AP15" s="46" t="str">
        <f t="shared" si="0"/>
        <v>Добавить территорию для дифференциации</v>
      </c>
      <c r="AS15" s="46">
        <v>0</v>
      </c>
    </row>
    <row r="16" spans="5:45" ht="14.25" hidden="1" customHeight="1">
      <c r="AS16" s="4">
        <v>0</v>
      </c>
    </row>
    <row r="17" spans="1:45" ht="14.25" hidden="1" customHeight="1">
      <c r="AD17" s="205"/>
      <c r="AE17" s="205"/>
      <c r="AF17" s="205"/>
      <c r="AG17" s="451"/>
      <c r="AH17" s="746"/>
      <c r="AI17" s="745" t="s">
        <v>66</v>
      </c>
      <c r="AJ17" s="746"/>
      <c r="AK17" s="745" t="s">
        <v>66</v>
      </c>
      <c r="AS17" s="4">
        <v>0</v>
      </c>
    </row>
    <row r="18" spans="1:45" ht="14.25" hidden="1" customHeight="1">
      <c r="AD18" s="205"/>
      <c r="AE18" s="205"/>
      <c r="AF18" s="205"/>
      <c r="AG18" s="111" t="str">
        <f>AH17&amp;"-"&amp;AJ17</f>
        <v>-</v>
      </c>
      <c r="AH18" s="745"/>
      <c r="AI18" s="745"/>
      <c r="AJ18" s="745"/>
      <c r="AK18" s="745"/>
      <c r="AS18" s="4">
        <v>0</v>
      </c>
    </row>
    <row r="19" spans="1:45" ht="14.25" hidden="1" customHeight="1">
      <c r="AS19" s="4">
        <v>0</v>
      </c>
    </row>
    <row r="20" spans="1:45" s="43" customFormat="1" ht="22.5" hidden="1" customHeight="1">
      <c r="M20" s="167"/>
      <c r="N20" s="167"/>
      <c r="O20" s="261" t="s">
        <v>420</v>
      </c>
      <c r="P20" s="167"/>
      <c r="Q20" s="452"/>
      <c r="R20" s="452"/>
      <c r="Z20" s="261"/>
      <c r="AB20" s="261"/>
      <c r="AH20" s="261"/>
      <c r="AJ20" s="261"/>
      <c r="AN20" s="46"/>
      <c r="AO20" s="46"/>
      <c r="AP20" s="46"/>
      <c r="AQ20" s="46"/>
      <c r="AR20" s="46"/>
      <c r="AS20" s="43">
        <v>0</v>
      </c>
    </row>
    <row r="21" spans="1:45" s="43" customFormat="1" ht="14.25" hidden="1" customHeight="1">
      <c r="M21" s="167"/>
      <c r="N21" s="167"/>
      <c r="O21" s="167"/>
      <c r="P21" s="167"/>
      <c r="Q21" s="452"/>
      <c r="R21" s="452"/>
      <c r="AN21" s="46"/>
      <c r="AO21" s="46"/>
      <c r="AP21" s="46"/>
      <c r="AQ21" s="46"/>
      <c r="AR21" s="46"/>
      <c r="AS21" s="43">
        <v>0</v>
      </c>
    </row>
    <row r="22" spans="1:45" s="43" customFormat="1" ht="33.75" hidden="1" customHeight="1">
      <c r="M22" s="167"/>
      <c r="N22" s="167"/>
      <c r="O22" s="43" t="s">
        <v>421</v>
      </c>
      <c r="P22" s="167"/>
      <c r="Q22" s="452"/>
      <c r="R22" s="452"/>
      <c r="T22" s="43" t="s">
        <v>422</v>
      </c>
      <c r="AA22" s="43" t="s">
        <v>423</v>
      </c>
      <c r="AC22" s="43" t="s">
        <v>424</v>
      </c>
      <c r="AD22" s="43" t="s">
        <v>422</v>
      </c>
      <c r="AI22" s="43" t="s">
        <v>425</v>
      </c>
      <c r="AK22" s="43" t="s">
        <v>424</v>
      </c>
      <c r="AN22" s="46"/>
      <c r="AO22" s="46"/>
      <c r="AP22" s="46"/>
      <c r="AQ22" s="46"/>
      <c r="AR22" s="46"/>
      <c r="AS22" s="43">
        <v>0</v>
      </c>
    </row>
    <row r="23" spans="1:45" ht="14.25" hidden="1" customHeight="1">
      <c r="O23" s="43"/>
      <c r="AS23" s="4">
        <v>0</v>
      </c>
    </row>
    <row r="24" spans="1:45" ht="14.25" hidden="1" customHeight="1">
      <c r="O24" s="43"/>
      <c r="AS24" s="4">
        <v>0</v>
      </c>
    </row>
    <row r="25" spans="1:45" ht="14.65" customHeight="1">
      <c r="Q25" s="19"/>
      <c r="R25" s="19"/>
      <c r="S25" s="6"/>
      <c r="T25" s="6"/>
      <c r="U25" s="6"/>
      <c r="AS25" s="4">
        <v>14</v>
      </c>
    </row>
    <row r="26" spans="1:45" ht="29.25" customHeight="1">
      <c r="Q26" s="19"/>
      <c r="R26" s="19"/>
      <c r="S26" s="697"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697"/>
      <c r="U26" s="697"/>
      <c r="V26" s="697"/>
      <c r="W26" s="697"/>
      <c r="X26" s="697"/>
      <c r="Y26" s="697"/>
      <c r="Z26" s="697"/>
      <c r="AA26" s="697"/>
      <c r="AB26" s="697"/>
      <c r="AC26" s="697"/>
      <c r="AD26" s="697"/>
      <c r="AE26" s="697"/>
      <c r="AF26" s="697"/>
      <c r="AG26" s="697"/>
      <c r="AH26" s="697"/>
      <c r="AI26" s="697"/>
      <c r="AJ26" s="697"/>
      <c r="AK26" s="40"/>
      <c r="AS26" s="4">
        <v>28</v>
      </c>
    </row>
    <row r="27" spans="1:45" ht="14.65" customHeight="1">
      <c r="Q27" s="19"/>
      <c r="R27" s="19"/>
      <c r="S27" s="712" t="str">
        <f>IF(org=0,"Не определено",org)</f>
        <v>ООО "Восточная Тепловая компания"</v>
      </c>
      <c r="T27" s="712"/>
      <c r="U27" s="712"/>
      <c r="V27" s="712"/>
      <c r="W27" s="712"/>
      <c r="X27" s="712"/>
      <c r="Y27" s="712"/>
      <c r="Z27" s="712"/>
      <c r="AA27" s="712"/>
      <c r="AB27" s="712"/>
      <c r="AC27" s="712"/>
      <c r="AD27" s="712"/>
      <c r="AE27" s="712"/>
      <c r="AF27" s="712"/>
      <c r="AG27" s="712"/>
      <c r="AH27" s="712"/>
      <c r="AI27" s="712"/>
      <c r="AJ27" s="712"/>
      <c r="AK27" s="40"/>
      <c r="AS27" s="4">
        <v>14</v>
      </c>
    </row>
    <row r="28" spans="1:45" ht="14.25" hidden="1" customHeight="1">
      <c r="Q28" s="19"/>
      <c r="R28" s="19"/>
      <c r="S28" s="6"/>
      <c r="T28" s="6"/>
      <c r="U28" s="6"/>
      <c r="V28" s="109"/>
      <c r="W28" s="109"/>
      <c r="X28" s="109"/>
      <c r="Y28" s="109"/>
      <c r="Z28" s="109"/>
      <c r="AA28" s="109"/>
      <c r="AB28" s="109"/>
      <c r="AC28" s="109"/>
      <c r="AD28" s="109"/>
      <c r="AE28" s="109"/>
      <c r="AF28" s="109"/>
      <c r="AG28" s="109"/>
      <c r="AH28" s="109"/>
      <c r="AI28" s="109"/>
      <c r="AJ28" s="109"/>
      <c r="AK28" s="109"/>
      <c r="AS28" s="4">
        <v>0</v>
      </c>
    </row>
    <row r="29" spans="1:45" s="22" customFormat="1" ht="25.5" hidden="1" customHeight="1">
      <c r="A29" s="43"/>
      <c r="B29" s="43"/>
      <c r="C29" s="43"/>
      <c r="D29" s="43"/>
      <c r="E29" s="43"/>
      <c r="F29" s="43"/>
      <c r="G29" s="43"/>
      <c r="H29" s="43"/>
      <c r="I29" s="43"/>
      <c r="J29" s="43"/>
      <c r="K29" s="43"/>
      <c r="L29" s="43"/>
      <c r="M29" s="43"/>
      <c r="N29" s="43"/>
      <c r="O29" s="43"/>
      <c r="S29" s="721" t="s">
        <v>42</v>
      </c>
      <c r="T29" s="721"/>
      <c r="U29" s="453"/>
      <c r="V29" s="741" t="str">
        <f>IF(TITLE_NAME_OR_PR_CHANGE="",IF(TITLE_NAME_OR_PR="","",TITLE_NAME_OR_PR),TITLE_NAME_OR_PR_CHANGE)</f>
        <v/>
      </c>
      <c r="W29" s="741"/>
      <c r="X29" s="741"/>
      <c r="Y29" s="741"/>
      <c r="Z29" s="741"/>
      <c r="AA29" s="741"/>
      <c r="AB29" s="741"/>
      <c r="AC29" s="4"/>
      <c r="AD29" s="741" t="str">
        <f>IF(TITLE_NAME_OR_PR_CHANGE="",IF(TITLE_NAME_OR_PR="","",TITLE_NAME_OR_PR),TITLE_NAME_OR_PR_CHANGE)</f>
        <v/>
      </c>
      <c r="AE29" s="741"/>
      <c r="AF29" s="741"/>
      <c r="AG29" s="741"/>
      <c r="AH29" s="741"/>
      <c r="AI29" s="741"/>
      <c r="AJ29" s="741"/>
      <c r="AK29" s="4"/>
      <c r="AL29" s="4"/>
      <c r="AM29" s="96"/>
      <c r="AN29" s="46"/>
      <c r="AO29" s="46"/>
      <c r="AP29" s="46"/>
      <c r="AQ29" s="46"/>
      <c r="AR29" s="46"/>
      <c r="AS29" s="22">
        <v>0</v>
      </c>
    </row>
    <row r="30" spans="1:45" s="22" customFormat="1" ht="18.75" hidden="1" customHeight="1">
      <c r="A30" s="43"/>
      <c r="B30" s="43"/>
      <c r="C30" s="43"/>
      <c r="D30" s="43"/>
      <c r="E30" s="43"/>
      <c r="F30" s="43"/>
      <c r="G30" s="43"/>
      <c r="H30" s="43"/>
      <c r="I30" s="43"/>
      <c r="J30" s="43"/>
      <c r="K30" s="43"/>
      <c r="L30" s="43"/>
      <c r="M30" s="43"/>
      <c r="N30" s="43"/>
      <c r="O30" s="43"/>
      <c r="S30" s="721" t="s">
        <v>426</v>
      </c>
      <c r="T30" s="721"/>
      <c r="U30" s="453"/>
      <c r="V30" s="740" t="str">
        <f>IF(TITLE_DATE_PR_CHANGE="",IF(TITLE_DATE_PR="","",TITLE_DATE_PR),TITLE_DATE_PR_CHANGE)</f>
        <v/>
      </c>
      <c r="W30" s="740"/>
      <c r="X30" s="740"/>
      <c r="Y30" s="740"/>
      <c r="Z30" s="740"/>
      <c r="AA30" s="740"/>
      <c r="AB30" s="740"/>
      <c r="AC30" s="4"/>
      <c r="AD30" s="740" t="str">
        <f>IF(TITLE_DATE_PR_CHANGE="",IF(TITLE_DATE_PR="","",TITLE_DATE_PR),TITLE_DATE_PR_CHANGE)</f>
        <v/>
      </c>
      <c r="AE30" s="740"/>
      <c r="AF30" s="740"/>
      <c r="AG30" s="740"/>
      <c r="AH30" s="740"/>
      <c r="AI30" s="740"/>
      <c r="AJ30" s="740"/>
      <c r="AK30" s="4"/>
      <c r="AL30" s="4"/>
      <c r="AM30" s="96"/>
      <c r="AN30" s="46"/>
      <c r="AO30" s="46"/>
      <c r="AP30" s="46"/>
      <c r="AQ30" s="46"/>
      <c r="AR30" s="46"/>
      <c r="AS30" s="22">
        <v>0</v>
      </c>
    </row>
    <row r="31" spans="1:45" s="22" customFormat="1" ht="18.75" hidden="1" customHeight="1">
      <c r="A31" s="43"/>
      <c r="B31" s="43"/>
      <c r="C31" s="43"/>
      <c r="D31" s="43"/>
      <c r="E31" s="43"/>
      <c r="F31" s="43"/>
      <c r="G31" s="43"/>
      <c r="H31" s="43"/>
      <c r="I31" s="43"/>
      <c r="J31" s="43"/>
      <c r="K31" s="43"/>
      <c r="L31" s="43"/>
      <c r="M31" s="43"/>
      <c r="N31" s="43"/>
      <c r="O31" s="43"/>
      <c r="S31" s="721" t="s">
        <v>427</v>
      </c>
      <c r="T31" s="721"/>
      <c r="U31" s="453"/>
      <c r="V31" s="741" t="str">
        <f>IF(TITLE_NUMBER_PR_CHANGE="",IF(TITLE_NUMBER_PR="","",TITLE_NUMBER_PR),TITLE_NUMBER_PR_CHANGE)</f>
        <v/>
      </c>
      <c r="W31" s="741"/>
      <c r="X31" s="741"/>
      <c r="Y31" s="741"/>
      <c r="Z31" s="741"/>
      <c r="AA31" s="741"/>
      <c r="AB31" s="741"/>
      <c r="AC31" s="4"/>
      <c r="AD31" s="741" t="str">
        <f>IF(TITLE_NUMBER_PR_CHANGE="",IF(TITLE_NUMBER_PR="","",TITLE_NUMBER_PR),TITLE_NUMBER_PR_CHANGE)</f>
        <v/>
      </c>
      <c r="AE31" s="741"/>
      <c r="AF31" s="741"/>
      <c r="AG31" s="741"/>
      <c r="AH31" s="741"/>
      <c r="AI31" s="741"/>
      <c r="AJ31" s="741"/>
      <c r="AK31" s="4"/>
      <c r="AL31" s="4"/>
      <c r="AM31" s="96"/>
      <c r="AN31" s="46"/>
      <c r="AO31" s="46"/>
      <c r="AP31" s="46"/>
      <c r="AQ31" s="46"/>
      <c r="AR31" s="46"/>
      <c r="AS31" s="22">
        <v>0</v>
      </c>
    </row>
    <row r="32" spans="1:45" s="22" customFormat="1" ht="18.75" hidden="1" customHeight="1">
      <c r="A32" s="43"/>
      <c r="B32" s="43"/>
      <c r="C32" s="43"/>
      <c r="D32" s="43"/>
      <c r="E32" s="43"/>
      <c r="F32" s="43"/>
      <c r="G32" s="43"/>
      <c r="H32" s="43"/>
      <c r="I32" s="43"/>
      <c r="J32" s="43"/>
      <c r="K32" s="43"/>
      <c r="L32" s="43"/>
      <c r="M32" s="43"/>
      <c r="N32" s="43"/>
      <c r="O32" s="43"/>
      <c r="S32" s="721" t="s">
        <v>43</v>
      </c>
      <c r="T32" s="721"/>
      <c r="U32" s="453"/>
      <c r="V32" s="741" t="str">
        <f>IF(TITLE_IST_PUB_CHANGE="",IF(TITLE_IST_PUB="","",TITLE_IST_PUB),TITLE_IST_PUB_CHANGE)</f>
        <v/>
      </c>
      <c r="W32" s="741"/>
      <c r="X32" s="741"/>
      <c r="Y32" s="741"/>
      <c r="Z32" s="741"/>
      <c r="AA32" s="741"/>
      <c r="AB32" s="741"/>
      <c r="AC32" s="4"/>
      <c r="AD32" s="741" t="str">
        <f>IF(TITLE_IST_PUB_CHANGE="",IF(TITLE_IST_PUB="","",TITLE_IST_PUB),TITLE_IST_PUB_CHANGE)</f>
        <v/>
      </c>
      <c r="AE32" s="741"/>
      <c r="AF32" s="741"/>
      <c r="AG32" s="741"/>
      <c r="AH32" s="741"/>
      <c r="AI32" s="741"/>
      <c r="AJ32" s="741"/>
      <c r="AK32" s="4"/>
      <c r="AL32" s="4"/>
      <c r="AM32" s="96"/>
      <c r="AN32" s="46"/>
      <c r="AO32" s="46"/>
      <c r="AP32" s="46"/>
      <c r="AQ32" s="46"/>
      <c r="AR32" s="46"/>
      <c r="AS32" s="22">
        <v>0</v>
      </c>
    </row>
    <row r="33" spans="1:45" ht="14.25" hidden="1" customHeight="1">
      <c r="Q33" s="19"/>
      <c r="R33" s="19"/>
      <c r="S33" s="6"/>
      <c r="T33" s="6"/>
      <c r="U33" s="6"/>
      <c r="V33" s="109"/>
      <c r="W33" s="109"/>
      <c r="X33" s="109"/>
      <c r="Y33" s="109"/>
      <c r="Z33" s="109"/>
      <c r="AA33" s="109"/>
      <c r="AB33" s="109"/>
      <c r="AC33" s="109"/>
      <c r="AD33" s="109"/>
      <c r="AE33" s="109"/>
      <c r="AF33" s="109"/>
      <c r="AG33" s="109"/>
      <c r="AH33" s="109"/>
      <c r="AI33" s="109"/>
      <c r="AJ33" s="109"/>
      <c r="AK33" s="109"/>
      <c r="AS33" s="4">
        <v>0</v>
      </c>
    </row>
    <row r="34" spans="1:45" s="22" customFormat="1" ht="18.75" hidden="1" customHeight="1">
      <c r="A34" s="43"/>
      <c r="B34" s="43"/>
      <c r="C34" s="43"/>
      <c r="D34" s="43"/>
      <c r="E34" s="43"/>
      <c r="F34" s="43"/>
      <c r="G34" s="43"/>
      <c r="H34" s="43"/>
      <c r="I34" s="43"/>
      <c r="J34" s="43"/>
      <c r="K34" s="43"/>
      <c r="L34" s="43"/>
      <c r="M34" s="43"/>
      <c r="N34" s="43"/>
      <c r="O34" s="43"/>
      <c r="S34" s="721" t="s">
        <v>428</v>
      </c>
      <c r="T34" s="721"/>
      <c r="U34" s="453"/>
      <c r="V34" s="740" t="str">
        <f>IF(TITLE_DATE_PR_CHANGE="",IF(TITLE_DATE_PR="","",TITLE_DATE_PR),TITLE_DATE_PR_CHANGE)</f>
        <v/>
      </c>
      <c r="W34" s="740"/>
      <c r="X34" s="740"/>
      <c r="Y34" s="740"/>
      <c r="Z34" s="740"/>
      <c r="AA34" s="740"/>
      <c r="AB34" s="740"/>
      <c r="AC34" s="4"/>
      <c r="AD34" s="740" t="str">
        <f>IF(TITLE_DATE_PR_CHANGE="",IF(TITLE_DATE_PR="","",TITLE_DATE_PR),TITLE_DATE_PR_CHANGE)</f>
        <v/>
      </c>
      <c r="AE34" s="740"/>
      <c r="AF34" s="740"/>
      <c r="AG34" s="740"/>
      <c r="AH34" s="740"/>
      <c r="AI34" s="740"/>
      <c r="AJ34" s="740"/>
      <c r="AK34" s="4"/>
      <c r="AL34" s="4"/>
      <c r="AM34" s="96"/>
      <c r="AN34" s="46"/>
      <c r="AO34" s="46"/>
      <c r="AP34" s="46"/>
      <c r="AQ34" s="46"/>
      <c r="AR34" s="46"/>
      <c r="AS34" s="22">
        <v>0</v>
      </c>
    </row>
    <row r="35" spans="1:45" s="22" customFormat="1" ht="18.75" hidden="1" customHeight="1">
      <c r="A35" s="43"/>
      <c r="B35" s="43"/>
      <c r="C35" s="43"/>
      <c r="D35" s="43"/>
      <c r="E35" s="43"/>
      <c r="F35" s="43"/>
      <c r="G35" s="43"/>
      <c r="H35" s="43"/>
      <c r="I35" s="43"/>
      <c r="J35" s="43"/>
      <c r="K35" s="43"/>
      <c r="L35" s="43"/>
      <c r="M35" s="43"/>
      <c r="N35" s="43"/>
      <c r="O35" s="43"/>
      <c r="S35" s="721" t="s">
        <v>429</v>
      </c>
      <c r="T35" s="721"/>
      <c r="U35" s="453"/>
      <c r="V35" s="741" t="str">
        <f>IF(TITLE_NUMBER_PR_CHANGE="",IF(TITLE_NUMBER_PR="","",TITLE_NUMBER_PR),TITLE_NUMBER_PR_CHANGE)</f>
        <v/>
      </c>
      <c r="W35" s="741"/>
      <c r="X35" s="741"/>
      <c r="Y35" s="741"/>
      <c r="Z35" s="741"/>
      <c r="AA35" s="741"/>
      <c r="AB35" s="741"/>
      <c r="AC35" s="4"/>
      <c r="AD35" s="741" t="str">
        <f>IF(TITLE_NUMBER_PR_CHANGE="",IF(TITLE_NUMBER_PR="","",TITLE_NUMBER_PR),TITLE_NUMBER_PR_CHANGE)</f>
        <v/>
      </c>
      <c r="AE35" s="741"/>
      <c r="AF35" s="741"/>
      <c r="AG35" s="741"/>
      <c r="AH35" s="741"/>
      <c r="AI35" s="741"/>
      <c r="AJ35" s="741"/>
      <c r="AK35" s="4"/>
      <c r="AL35" s="4"/>
      <c r="AM35" s="96"/>
      <c r="AN35" s="46"/>
      <c r="AO35" s="46"/>
      <c r="AP35" s="46"/>
      <c r="AQ35" s="46"/>
      <c r="AR35" s="46"/>
      <c r="AS35" s="22">
        <v>0</v>
      </c>
    </row>
    <row r="36" spans="1:45" s="22" customFormat="1" ht="0" hidden="1" customHeight="1">
      <c r="A36" s="43"/>
      <c r="B36" s="43"/>
      <c r="C36" s="43"/>
      <c r="D36" s="43"/>
      <c r="E36" s="43"/>
      <c r="F36" s="43"/>
      <c r="G36" s="43"/>
      <c r="H36" s="43"/>
      <c r="I36" s="43"/>
      <c r="J36" s="43"/>
      <c r="K36" s="43"/>
      <c r="L36" s="43"/>
      <c r="M36" s="43"/>
      <c r="N36" s="43"/>
      <c r="O36" s="43"/>
      <c r="S36" s="4"/>
      <c r="T36" s="4"/>
      <c r="U36" s="4"/>
      <c r="V36" s="4"/>
      <c r="W36" s="4"/>
      <c r="X36" s="4"/>
      <c r="Y36" s="4"/>
      <c r="Z36" s="4"/>
      <c r="AA36" s="4"/>
      <c r="AB36" s="4"/>
      <c r="AC36" s="46" t="s">
        <v>430</v>
      </c>
      <c r="AD36" s="4"/>
      <c r="AE36" s="4"/>
      <c r="AF36" s="4"/>
      <c r="AG36" s="4"/>
      <c r="AH36" s="4"/>
      <c r="AI36" s="4"/>
      <c r="AJ36" s="4"/>
      <c r="AK36" s="46" t="s">
        <v>430</v>
      </c>
      <c r="AN36" s="46"/>
      <c r="AO36" s="46"/>
      <c r="AP36" s="46"/>
      <c r="AQ36" s="46"/>
      <c r="AR36" s="46"/>
      <c r="AS36" s="22">
        <v>0</v>
      </c>
    </row>
    <row r="37" spans="1:45" ht="14.65" customHeight="1">
      <c r="Q37" s="19"/>
      <c r="R37" s="19"/>
      <c r="S37" s="6"/>
      <c r="T37" s="6"/>
      <c r="U37" s="420"/>
      <c r="V37" s="755"/>
      <c r="W37" s="755"/>
      <c r="X37" s="755"/>
      <c r="Y37" s="755"/>
      <c r="Z37" s="755"/>
      <c r="AA37" s="755"/>
      <c r="AB37" s="755"/>
      <c r="AC37" s="755"/>
      <c r="AD37" s="755"/>
      <c r="AE37" s="755"/>
      <c r="AF37" s="755"/>
      <c r="AG37" s="755"/>
      <c r="AH37" s="755"/>
      <c r="AI37" s="755"/>
      <c r="AJ37" s="755"/>
      <c r="AK37" s="755"/>
      <c r="AS37" s="4">
        <v>14</v>
      </c>
    </row>
    <row r="38" spans="1:45" ht="14.65" customHeight="1">
      <c r="Q38" s="19"/>
      <c r="R38" s="19"/>
      <c r="S38" s="679" t="s">
        <v>303</v>
      </c>
      <c r="T38" s="679"/>
      <c r="U38" s="679"/>
      <c r="V38" s="679"/>
      <c r="W38" s="679"/>
      <c r="X38" s="679"/>
      <c r="Y38" s="679"/>
      <c r="Z38" s="679"/>
      <c r="AA38" s="679"/>
      <c r="AB38" s="679"/>
      <c r="AC38" s="679"/>
      <c r="AD38" s="679"/>
      <c r="AE38" s="679"/>
      <c r="AF38" s="679"/>
      <c r="AG38" s="679"/>
      <c r="AH38" s="679"/>
      <c r="AI38" s="679"/>
      <c r="AJ38" s="679"/>
      <c r="AK38" s="679"/>
      <c r="AL38" s="679"/>
      <c r="AM38" s="679" t="s">
        <v>304</v>
      </c>
      <c r="AS38" s="4">
        <v>14</v>
      </c>
    </row>
    <row r="39" spans="1:45" ht="14.65" customHeight="1">
      <c r="Q39" s="19"/>
      <c r="R39" s="19"/>
      <c r="S39" s="722" t="s">
        <v>88</v>
      </c>
      <c r="T39" s="722" t="s">
        <v>431</v>
      </c>
      <c r="U39" s="100"/>
      <c r="V39" s="756" t="s">
        <v>432</v>
      </c>
      <c r="W39" s="757"/>
      <c r="X39" s="767"/>
      <c r="Y39" s="767"/>
      <c r="Z39" s="757"/>
      <c r="AA39" s="757"/>
      <c r="AB39" s="758"/>
      <c r="AC39" s="724" t="s">
        <v>433</v>
      </c>
      <c r="AD39" s="756" t="s">
        <v>432</v>
      </c>
      <c r="AE39" s="757"/>
      <c r="AF39" s="767"/>
      <c r="AG39" s="767"/>
      <c r="AH39" s="757"/>
      <c r="AI39" s="757"/>
      <c r="AJ39" s="758"/>
      <c r="AK39" s="724" t="s">
        <v>434</v>
      </c>
      <c r="AL39" s="759" t="s">
        <v>435</v>
      </c>
      <c r="AM39" s="679"/>
      <c r="AS39" s="4">
        <v>14</v>
      </c>
    </row>
    <row r="40" spans="1:45" ht="24" customHeight="1">
      <c r="Q40" s="19"/>
      <c r="R40" s="19"/>
      <c r="S40" s="722"/>
      <c r="T40" s="722"/>
      <c r="U40" s="349"/>
      <c r="V40" s="765" t="s">
        <v>436</v>
      </c>
      <c r="W40" s="674" t="s">
        <v>437</v>
      </c>
      <c r="X40" s="174" t="s">
        <v>438</v>
      </c>
      <c r="Y40" s="174"/>
      <c r="Z40" s="666" t="s">
        <v>439</v>
      </c>
      <c r="AA40" s="666"/>
      <c r="AB40" s="661"/>
      <c r="AC40" s="725"/>
      <c r="AD40" s="765" t="s">
        <v>436</v>
      </c>
      <c r="AE40" s="674" t="s">
        <v>437</v>
      </c>
      <c r="AF40" s="174" t="s">
        <v>438</v>
      </c>
      <c r="AG40" s="174"/>
      <c r="AH40" s="666" t="s">
        <v>439</v>
      </c>
      <c r="AI40" s="666"/>
      <c r="AJ40" s="661"/>
      <c r="AK40" s="725"/>
      <c r="AL40" s="760"/>
      <c r="AM40" s="679"/>
      <c r="AS40" s="4">
        <v>23</v>
      </c>
    </row>
    <row r="41" spans="1:45" s="4" customFormat="1" ht="24" customHeight="1">
      <c r="A41" s="43"/>
      <c r="B41" s="43" t="s">
        <v>140</v>
      </c>
      <c r="C41" s="43" t="s">
        <v>141</v>
      </c>
      <c r="D41" s="43" t="s">
        <v>142</v>
      </c>
      <c r="E41" s="43" t="s">
        <v>440</v>
      </c>
      <c r="F41" s="43" t="s">
        <v>441</v>
      </c>
      <c r="G41" s="43" t="s">
        <v>442</v>
      </c>
      <c r="H41" s="43" t="s">
        <v>443</v>
      </c>
      <c r="I41" s="43" t="s">
        <v>444</v>
      </c>
      <c r="J41" s="43" t="s">
        <v>445</v>
      </c>
      <c r="K41" s="43" t="s">
        <v>446</v>
      </c>
      <c r="L41" s="43" t="s">
        <v>421</v>
      </c>
      <c r="M41" s="167"/>
      <c r="N41" s="167"/>
      <c r="O41" s="167"/>
      <c r="P41" s="23"/>
      <c r="Q41" s="19"/>
      <c r="R41" s="19"/>
      <c r="S41" s="722"/>
      <c r="T41" s="722"/>
      <c r="U41" s="101"/>
      <c r="V41" s="766"/>
      <c r="W41" s="677"/>
      <c r="X41" s="174" t="s">
        <v>447</v>
      </c>
      <c r="Y41" s="174" t="s">
        <v>448</v>
      </c>
      <c r="Z41" s="371" t="s">
        <v>449</v>
      </c>
      <c r="AA41" s="728" t="s">
        <v>450</v>
      </c>
      <c r="AB41" s="734"/>
      <c r="AC41" s="726"/>
      <c r="AD41" s="766"/>
      <c r="AE41" s="677"/>
      <c r="AF41" s="174" t="s">
        <v>447</v>
      </c>
      <c r="AG41" s="174" t="s">
        <v>448</v>
      </c>
      <c r="AH41" s="371" t="s">
        <v>449</v>
      </c>
      <c r="AI41" s="728" t="s">
        <v>450</v>
      </c>
      <c r="AJ41" s="734"/>
      <c r="AK41" s="726"/>
      <c r="AL41" s="761"/>
      <c r="AM41" s="679"/>
      <c r="AN41" s="46"/>
      <c r="AO41" s="46"/>
      <c r="AP41" s="46"/>
      <c r="AQ41" s="46"/>
      <c r="AR41" s="46"/>
      <c r="AS41" s="4">
        <v>23</v>
      </c>
    </row>
    <row r="42" spans="1:45" s="117" customFormat="1" ht="11.25" hidden="1" customHeight="1">
      <c r="A42" s="43"/>
      <c r="B42" s="43"/>
      <c r="C42" s="43"/>
      <c r="D42" s="43"/>
      <c r="E42" s="43"/>
      <c r="F42" s="43"/>
      <c r="G42" s="43"/>
      <c r="H42" s="43"/>
      <c r="I42" s="43"/>
      <c r="J42" s="43"/>
      <c r="K42" s="43"/>
      <c r="L42" s="43"/>
      <c r="M42" s="167"/>
      <c r="N42" s="167"/>
      <c r="O42" s="167"/>
      <c r="P42" s="178"/>
      <c r="Q42" s="422"/>
      <c r="R42" s="424">
        <v>1</v>
      </c>
      <c r="S42" s="425" t="s">
        <v>110</v>
      </c>
      <c r="T42" s="425" t="s">
        <v>111</v>
      </c>
      <c r="U42" s="421" t="str">
        <f ca="1">OFFSET(U42,0,-1)</f>
        <v>2</v>
      </c>
      <c r="V42" s="426">
        <f ca="1">OFFSET(V42,0,-1)+1</f>
        <v>3</v>
      </c>
      <c r="W42" s="426"/>
      <c r="X42" s="157">
        <f ca="1">OFFSET(X42,0,-1)+1</f>
        <v>1</v>
      </c>
      <c r="Y42" s="157">
        <f ca="1">OFFSET(Y42,0,-1)+1</f>
        <v>2</v>
      </c>
      <c r="Z42" s="426">
        <f ca="1">OFFSET(Z42,0,-1)+1</f>
        <v>3</v>
      </c>
      <c r="AA42" s="754">
        <f ca="1">OFFSET(AA42,0,-1)+1</f>
        <v>4</v>
      </c>
      <c r="AB42" s="754"/>
      <c r="AC42" s="426">
        <f ca="1">OFFSET(AC42,0,-2)+1</f>
        <v>5</v>
      </c>
      <c r="AD42" s="426">
        <f ca="1">OFFSET(AD42,0,-1)+1</f>
        <v>6</v>
      </c>
      <c r="AE42" s="426"/>
      <c r="AF42" s="157">
        <f ca="1">OFFSET(AF42,0,-1)+1</f>
        <v>1</v>
      </c>
      <c r="AG42" s="157">
        <f ca="1">OFFSET(AG42,0,-1)+1</f>
        <v>2</v>
      </c>
      <c r="AH42" s="426">
        <f ca="1">OFFSET(AH42,0,-1)+1</f>
        <v>3</v>
      </c>
      <c r="AI42" s="754">
        <f ca="1">OFFSET(AI42,0,-1)+1</f>
        <v>4</v>
      </c>
      <c r="AJ42" s="754"/>
      <c r="AK42" s="426">
        <f ca="1">OFFSET(AK42,0,-2)+1</f>
        <v>5</v>
      </c>
      <c r="AL42" s="421">
        <f ca="1">OFFSET(AL42,0,-1)</f>
        <v>5</v>
      </c>
      <c r="AM42" s="426">
        <f ca="1">OFFSET(AM42,0,-1)+1</f>
        <v>6</v>
      </c>
      <c r="AN42" s="46"/>
      <c r="AO42" s="46"/>
      <c r="AP42" s="46"/>
      <c r="AQ42" s="46"/>
      <c r="AR42" s="46"/>
      <c r="AS42" s="117">
        <v>0</v>
      </c>
    </row>
    <row r="43" spans="1:45" ht="21.95" customHeight="1">
      <c r="A43" s="43" t="s">
        <v>197</v>
      </c>
      <c r="E43" s="745">
        <v>1</v>
      </c>
      <c r="M43" s="43"/>
      <c r="N43" s="43"/>
      <c r="O43" s="43"/>
      <c r="Q43" s="4"/>
      <c r="R43" s="119"/>
      <c r="S43" s="24">
        <f>INDEX(PT_DIFFERENTIATION_NUM_NTAR,MATCH(A43,PT_DIFFERENTIATION_NTAR_ID,0))</f>
        <v>0</v>
      </c>
      <c r="T43" s="29" t="s">
        <v>128</v>
      </c>
      <c r="U43" s="29"/>
      <c r="V43" s="742"/>
      <c r="W43" s="743"/>
      <c r="X43" s="743"/>
      <c r="Y43" s="743"/>
      <c r="Z43" s="743"/>
      <c r="AA43" s="743"/>
      <c r="AB43" s="743"/>
      <c r="AC43" s="744"/>
      <c r="AD43" s="742" t="str">
        <f>INDEX(PT_DIFFERENTIATION_NTAR,MATCH(A43,PT_DIFFERENTIATION_NTAR_ID,0))</f>
        <v/>
      </c>
      <c r="AE43" s="743"/>
      <c r="AF43" s="743"/>
      <c r="AG43" s="743"/>
      <c r="AH43" s="743"/>
      <c r="AI43" s="743"/>
      <c r="AJ43" s="743"/>
      <c r="AK43" s="743"/>
      <c r="AL43" s="744"/>
      <c r="AM43" s="42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P43" s="46" t="str">
        <f t="shared" ref="AP43:AP57" si="1">IF(T43="","",T43)</f>
        <v>Наименование тарифа</v>
      </c>
      <c r="AS43" s="4">
        <v>21</v>
      </c>
    </row>
    <row r="44" spans="1:45" ht="21.95" customHeight="1">
      <c r="A44" s="43" t="s">
        <v>197</v>
      </c>
      <c r="B44" s="43" t="s">
        <v>198</v>
      </c>
      <c r="E44" s="747"/>
      <c r="F44" s="745">
        <v>1</v>
      </c>
      <c r="M44" s="43"/>
      <c r="N44" s="43"/>
      <c r="O44" s="43"/>
      <c r="P44" s="4"/>
      <c r="Q44" s="118"/>
      <c r="R44" s="119"/>
      <c r="S44" s="24" t="str">
        <f>INDEX(PT_DIFFERENTIATION_NUM_TER,MATCH(B44,PT_DIFFERENTIATION_TER_ID,0))</f>
        <v>.</v>
      </c>
      <c r="T44" s="24" t="s">
        <v>400</v>
      </c>
      <c r="U44" s="29"/>
      <c r="V44" s="742"/>
      <c r="W44" s="743"/>
      <c r="X44" s="743"/>
      <c r="Y44" s="743"/>
      <c r="Z44" s="743"/>
      <c r="AA44" s="743"/>
      <c r="AB44" s="743"/>
      <c r="AC44" s="744"/>
      <c r="AD44" s="742" t="str">
        <f>INDEX(PT_DIFFERENTIATION_TER,MATCH(B44,PT_DIFFERENTIATION_TER_ID,0))</f>
        <v/>
      </c>
      <c r="AE44" s="743"/>
      <c r="AF44" s="743"/>
      <c r="AG44" s="743"/>
      <c r="AH44" s="743"/>
      <c r="AI44" s="743"/>
      <c r="AJ44" s="743"/>
      <c r="AK44" s="743"/>
      <c r="AL44" s="744"/>
      <c r="AM44" s="428" t="s">
        <v>401</v>
      </c>
      <c r="AP44" s="46" t="str">
        <f t="shared" si="1"/>
        <v>Территория действия тарифа</v>
      </c>
      <c r="AS44" s="4">
        <v>21</v>
      </c>
    </row>
    <row r="45" spans="1:45" ht="24" customHeight="1">
      <c r="A45" s="43" t="s">
        <v>197</v>
      </c>
      <c r="B45" s="43" t="s">
        <v>198</v>
      </c>
      <c r="C45" s="43" t="s">
        <v>199</v>
      </c>
      <c r="E45" s="747"/>
      <c r="F45" s="747"/>
      <c r="G45" s="745">
        <v>1</v>
      </c>
      <c r="M45" s="43"/>
      <c r="N45" s="43"/>
      <c r="O45" s="43"/>
      <c r="P45" s="16"/>
      <c r="Q45" s="118"/>
      <c r="R45" s="119"/>
      <c r="S45" s="24" t="str">
        <f>INDEX(PT_DIFFERENTIATION_NUM_CS,MATCH(C45,PT_DIFFERENTIATION_CS_ID,0))</f>
        <v>..</v>
      </c>
      <c r="T45" s="24" t="s">
        <v>402</v>
      </c>
      <c r="U45" s="29"/>
      <c r="V45" s="742"/>
      <c r="W45" s="743"/>
      <c r="X45" s="743"/>
      <c r="Y45" s="743"/>
      <c r="Z45" s="743"/>
      <c r="AA45" s="743"/>
      <c r="AB45" s="743"/>
      <c r="AC45" s="744"/>
      <c r="AD45" s="742" t="str">
        <f>INDEX(PT_DIFFERENTIATION_CS,MATCH(C45,PT_DIFFERENTIATION_CS_ID,0))</f>
        <v/>
      </c>
      <c r="AE45" s="743"/>
      <c r="AF45" s="743"/>
      <c r="AG45" s="743"/>
      <c r="AH45" s="743"/>
      <c r="AI45" s="743"/>
      <c r="AJ45" s="743"/>
      <c r="AK45" s="743"/>
      <c r="AL45" s="744"/>
      <c r="AM45" s="428" t="s">
        <v>403</v>
      </c>
      <c r="AP45" s="46" t="str">
        <f t="shared" si="1"/>
        <v xml:space="preserve">Наименование системы теплоснабжения </v>
      </c>
      <c r="AS45" s="4">
        <v>23</v>
      </c>
    </row>
    <row r="46" spans="1:45" ht="21.95" customHeight="1">
      <c r="A46" s="43" t="s">
        <v>197</v>
      </c>
      <c r="B46" s="43" t="s">
        <v>198</v>
      </c>
      <c r="C46" s="43" t="s">
        <v>199</v>
      </c>
      <c r="D46" s="43" t="s">
        <v>200</v>
      </c>
      <c r="E46" s="747"/>
      <c r="F46" s="747"/>
      <c r="G46" s="747"/>
      <c r="H46" s="745">
        <v>1</v>
      </c>
      <c r="M46" s="43"/>
      <c r="N46" s="43"/>
      <c r="O46" s="43"/>
      <c r="P46" s="16"/>
      <c r="Q46" s="118"/>
      <c r="R46" s="119"/>
      <c r="S46" s="24" t="str">
        <f>INDEX(PT_DIFFERENTIATION_NUM_IST_TE,MATCH(D46,PT_DIFFERENTIATION_IST_TE_ID,0))</f>
        <v>...</v>
      </c>
      <c r="T46" s="24" t="s">
        <v>404</v>
      </c>
      <c r="U46" s="29"/>
      <c r="V46" s="742"/>
      <c r="W46" s="743"/>
      <c r="X46" s="743"/>
      <c r="Y46" s="743"/>
      <c r="Z46" s="743"/>
      <c r="AA46" s="743"/>
      <c r="AB46" s="743"/>
      <c r="AC46" s="744"/>
      <c r="AD46" s="742" t="str">
        <f>INDEX(PT_DIFFERENTIATION_IST_TE,MATCH(D46,PT_DIFFERENTIATION_IST_TE_ID,0))</f>
        <v/>
      </c>
      <c r="AE46" s="743"/>
      <c r="AF46" s="743"/>
      <c r="AG46" s="743"/>
      <c r="AH46" s="743"/>
      <c r="AI46" s="743"/>
      <c r="AJ46" s="743"/>
      <c r="AK46" s="743"/>
      <c r="AL46" s="744"/>
      <c r="AM46" s="428" t="s">
        <v>405</v>
      </c>
      <c r="AP46" s="46" t="str">
        <f t="shared" si="1"/>
        <v xml:space="preserve">Источник тепловой энергии  </v>
      </c>
      <c r="AS46" s="4">
        <v>21</v>
      </c>
    </row>
    <row r="47" spans="1:45" ht="49.5" customHeight="1">
      <c r="A47" s="43" t="s">
        <v>197</v>
      </c>
      <c r="B47" s="43" t="s">
        <v>198</v>
      </c>
      <c r="C47" s="43" t="s">
        <v>199</v>
      </c>
      <c r="D47" s="43" t="s">
        <v>200</v>
      </c>
      <c r="E47" s="747"/>
      <c r="F47" s="747"/>
      <c r="G47" s="747"/>
      <c r="H47" s="747"/>
      <c r="I47" s="745" t="str">
        <f>S46&amp;".1"</f>
        <v>....1</v>
      </c>
      <c r="L47" s="43" t="s">
        <v>406</v>
      </c>
      <c r="P47" s="748">
        <v>1</v>
      </c>
      <c r="Q47" s="46"/>
      <c r="R47" s="120"/>
      <c r="S47" s="24" t="str">
        <f>$I47</f>
        <v>....1</v>
      </c>
      <c r="T47" s="24" t="s">
        <v>407</v>
      </c>
      <c r="U47" s="29"/>
      <c r="V47" s="737"/>
      <c r="W47" s="738"/>
      <c r="X47" s="738"/>
      <c r="Y47" s="738"/>
      <c r="Z47" s="738"/>
      <c r="AA47" s="738"/>
      <c r="AB47" s="738"/>
      <c r="AC47" s="739"/>
      <c r="AD47" s="737"/>
      <c r="AE47" s="738"/>
      <c r="AF47" s="738"/>
      <c r="AG47" s="738"/>
      <c r="AH47" s="738"/>
      <c r="AI47" s="738"/>
      <c r="AJ47" s="738"/>
      <c r="AK47" s="738"/>
      <c r="AL47" s="739"/>
      <c r="AM47" s="428" t="s">
        <v>408</v>
      </c>
      <c r="AP47" s="46" t="str">
        <f t="shared" si="1"/>
        <v>Схема подключения теплопотребляющей установки к коллектору источника тепловой энергии</v>
      </c>
      <c r="AS47" s="4">
        <v>47</v>
      </c>
    </row>
    <row r="48" spans="1:45" ht="21.95" customHeight="1">
      <c r="A48" s="43" t="s">
        <v>197</v>
      </c>
      <c r="B48" s="43" t="s">
        <v>198</v>
      </c>
      <c r="C48" s="43" t="s">
        <v>199</v>
      </c>
      <c r="D48" s="43" t="s">
        <v>200</v>
      </c>
      <c r="E48" s="747"/>
      <c r="F48" s="747"/>
      <c r="G48" s="747"/>
      <c r="H48" s="747"/>
      <c r="I48" s="747"/>
      <c r="J48" s="745" t="str">
        <f>I47&amp;".1"</f>
        <v>....1.1</v>
      </c>
      <c r="L48" s="43" t="s">
        <v>409</v>
      </c>
      <c r="P48" s="748"/>
      <c r="Q48" s="748">
        <v>1</v>
      </c>
      <c r="R48" s="120"/>
      <c r="S48" s="24" t="str">
        <f>$J48</f>
        <v>....1.1</v>
      </c>
      <c r="T48" s="24" t="s">
        <v>410</v>
      </c>
      <c r="U48" s="29"/>
      <c r="V48" s="737"/>
      <c r="W48" s="738"/>
      <c r="X48" s="738"/>
      <c r="Y48" s="738"/>
      <c r="Z48" s="738"/>
      <c r="AA48" s="738"/>
      <c r="AB48" s="738"/>
      <c r="AC48" s="739"/>
      <c r="AD48" s="737"/>
      <c r="AE48" s="738"/>
      <c r="AF48" s="738"/>
      <c r="AG48" s="738"/>
      <c r="AH48" s="738"/>
      <c r="AI48" s="738"/>
      <c r="AJ48" s="738"/>
      <c r="AK48" s="738"/>
      <c r="AL48" s="739"/>
      <c r="AM48" s="428" t="s">
        <v>411</v>
      </c>
      <c r="AP48" s="46" t="str">
        <f t="shared" si="1"/>
        <v>Группа потребителей</v>
      </c>
      <c r="AS48" s="4">
        <v>21</v>
      </c>
    </row>
    <row r="49" spans="1:45" ht="21.95" customHeight="1">
      <c r="A49" s="43" t="s">
        <v>197</v>
      </c>
      <c r="B49" s="43" t="s">
        <v>198</v>
      </c>
      <c r="C49" s="43" t="s">
        <v>199</v>
      </c>
      <c r="D49" s="43" t="s">
        <v>200</v>
      </c>
      <c r="E49" s="747"/>
      <c r="F49" s="747"/>
      <c r="G49" s="747"/>
      <c r="H49" s="747"/>
      <c r="I49" s="747"/>
      <c r="J49" s="747"/>
      <c r="K49" s="745" t="str">
        <f>J48&amp;".1"</f>
        <v>....1.1.1</v>
      </c>
      <c r="L49" s="43" t="s">
        <v>412</v>
      </c>
      <c r="P49" s="748"/>
      <c r="Q49" s="748"/>
      <c r="R49" s="120">
        <v>1</v>
      </c>
      <c r="S49" s="24" t="str">
        <f>$K49</f>
        <v>....1.1.1</v>
      </c>
      <c r="T49" s="356"/>
      <c r="U49" s="29"/>
      <c r="V49" s="110"/>
      <c r="W49" s="168"/>
      <c r="X49" s="110"/>
      <c r="Y49" s="123"/>
      <c r="Z49" s="749"/>
      <c r="AA49" s="688" t="s">
        <v>66</v>
      </c>
      <c r="AB49" s="749"/>
      <c r="AC49" s="688" t="s">
        <v>66</v>
      </c>
      <c r="AD49" s="110"/>
      <c r="AE49" s="168"/>
      <c r="AF49" s="110"/>
      <c r="AG49" s="123"/>
      <c r="AH49" s="749"/>
      <c r="AI49" s="688" t="s">
        <v>66</v>
      </c>
      <c r="AJ49" s="750"/>
      <c r="AK49" s="688" t="s">
        <v>66</v>
      </c>
      <c r="AL49" s="345"/>
      <c r="AM49" s="762" t="s">
        <v>413</v>
      </c>
      <c r="AN49" s="46" t="e">
        <f ca="1">STRCHECKDATE(V50:AL50)</f>
        <v>#NAME?</v>
      </c>
      <c r="AP49" s="46" t="str">
        <f t="shared" si="1"/>
        <v/>
      </c>
      <c r="AS49" s="4">
        <v>21</v>
      </c>
    </row>
    <row r="50" spans="1:45" ht="1.1499999999999999" customHeight="1">
      <c r="A50" s="43" t="s">
        <v>197</v>
      </c>
      <c r="B50" s="43" t="s">
        <v>198</v>
      </c>
      <c r="C50" s="43" t="s">
        <v>199</v>
      </c>
      <c r="D50" s="43" t="s">
        <v>200</v>
      </c>
      <c r="E50" s="747"/>
      <c r="F50" s="747"/>
      <c r="G50" s="747"/>
      <c r="H50" s="747"/>
      <c r="I50" s="747"/>
      <c r="J50" s="747"/>
      <c r="K50" s="745"/>
      <c r="P50" s="748"/>
      <c r="Q50" s="748"/>
      <c r="R50" s="120"/>
      <c r="S50" s="31"/>
      <c r="T50" s="29"/>
      <c r="U50" s="29"/>
      <c r="V50" s="110"/>
      <c r="W50" s="110"/>
      <c r="X50" s="110"/>
      <c r="Y50" s="111" t="str">
        <f>Z49&amp;"-"&amp;AB49</f>
        <v>-</v>
      </c>
      <c r="Z50" s="707"/>
      <c r="AA50" s="688"/>
      <c r="AB50" s="707"/>
      <c r="AC50" s="688"/>
      <c r="AD50" s="110"/>
      <c r="AE50" s="110"/>
      <c r="AF50" s="110"/>
      <c r="AG50" s="111" t="str">
        <f>AH49&amp;"-"&amp;AJ49</f>
        <v>-</v>
      </c>
      <c r="AH50" s="707"/>
      <c r="AI50" s="688"/>
      <c r="AJ50" s="751"/>
      <c r="AK50" s="688"/>
      <c r="AL50" s="450"/>
      <c r="AM50" s="763"/>
      <c r="AP50" s="46" t="str">
        <f t="shared" si="1"/>
        <v/>
      </c>
      <c r="AS50" s="4">
        <v>1</v>
      </c>
    </row>
    <row r="51" spans="1:45" ht="11.45" customHeight="1">
      <c r="A51" s="43" t="s">
        <v>197</v>
      </c>
      <c r="B51" s="43" t="s">
        <v>198</v>
      </c>
      <c r="C51" s="43" t="s">
        <v>199</v>
      </c>
      <c r="D51" s="43" t="s">
        <v>200</v>
      </c>
      <c r="E51" s="747"/>
      <c r="F51" s="747"/>
      <c r="G51" s="747"/>
      <c r="H51" s="747"/>
      <c r="I51" s="747"/>
      <c r="J51" s="745"/>
      <c r="P51" s="748"/>
      <c r="Q51" s="748"/>
      <c r="R51" s="120"/>
      <c r="S51" s="434"/>
      <c r="T51" s="37" t="s">
        <v>414</v>
      </c>
      <c r="U51" s="58"/>
      <c r="V51" s="58"/>
      <c r="W51" s="58"/>
      <c r="X51" s="58"/>
      <c r="Y51" s="58"/>
      <c r="Z51" s="58"/>
      <c r="AA51" s="58"/>
      <c r="AB51" s="58"/>
      <c r="AC51" s="58"/>
      <c r="AD51" s="58"/>
      <c r="AE51" s="58"/>
      <c r="AF51" s="58"/>
      <c r="AG51" s="58"/>
      <c r="AH51" s="58"/>
      <c r="AI51" s="58"/>
      <c r="AJ51" s="58"/>
      <c r="AK51" s="58"/>
      <c r="AL51" s="59"/>
      <c r="AM51" s="764"/>
      <c r="AP51" s="46" t="str">
        <f t="shared" si="1"/>
        <v>Добавить вид теплоносителя (параметры теплоносителя)</v>
      </c>
      <c r="AS51" s="4">
        <v>11</v>
      </c>
    </row>
    <row r="52" spans="1:45" ht="11.45" customHeight="1">
      <c r="A52" s="43" t="s">
        <v>197</v>
      </c>
      <c r="B52" s="43" t="s">
        <v>198</v>
      </c>
      <c r="C52" s="43" t="s">
        <v>199</v>
      </c>
      <c r="D52" s="43" t="s">
        <v>200</v>
      </c>
      <c r="E52" s="747"/>
      <c r="F52" s="747"/>
      <c r="G52" s="747"/>
      <c r="H52" s="747"/>
      <c r="I52" s="745"/>
      <c r="P52" s="748"/>
      <c r="Q52" s="46"/>
      <c r="R52" s="120"/>
      <c r="S52" s="434"/>
      <c r="T52" s="37" t="s">
        <v>415</v>
      </c>
      <c r="U52" s="58"/>
      <c r="V52" s="58"/>
      <c r="W52" s="58"/>
      <c r="X52" s="58"/>
      <c r="Y52" s="58"/>
      <c r="Z52" s="58"/>
      <c r="AA52" s="58"/>
      <c r="AB52" s="58"/>
      <c r="AC52" s="54"/>
      <c r="AD52" s="58"/>
      <c r="AE52" s="58"/>
      <c r="AF52" s="58"/>
      <c r="AG52" s="58"/>
      <c r="AH52" s="58"/>
      <c r="AI52" s="58"/>
      <c r="AJ52" s="58"/>
      <c r="AK52" s="54"/>
      <c r="AL52" s="58"/>
      <c r="AM52" s="102"/>
      <c r="AP52" s="46" t="str">
        <f t="shared" si="1"/>
        <v>Добавить группу потребителей</v>
      </c>
      <c r="AS52" s="4">
        <v>11</v>
      </c>
    </row>
    <row r="53" spans="1:45" ht="14.65" customHeight="1">
      <c r="A53" s="43" t="s">
        <v>197</v>
      </c>
      <c r="B53" s="43" t="s">
        <v>198</v>
      </c>
      <c r="C53" s="43" t="s">
        <v>199</v>
      </c>
      <c r="D53" s="43" t="s">
        <v>200</v>
      </c>
      <c r="E53" s="747"/>
      <c r="F53" s="747"/>
      <c r="G53" s="747"/>
      <c r="H53" s="745"/>
      <c r="M53" s="43"/>
      <c r="N53" s="43"/>
      <c r="O53" s="43"/>
      <c r="P53" s="4"/>
      <c r="R53" s="119"/>
      <c r="S53" s="434"/>
      <c r="T53" s="37" t="s">
        <v>416</v>
      </c>
      <c r="U53" s="58"/>
      <c r="V53" s="58"/>
      <c r="W53" s="58"/>
      <c r="X53" s="58"/>
      <c r="Y53" s="58"/>
      <c r="Z53" s="58"/>
      <c r="AA53" s="58"/>
      <c r="AB53" s="58"/>
      <c r="AC53" s="54"/>
      <c r="AD53" s="58"/>
      <c r="AE53" s="58"/>
      <c r="AF53" s="58"/>
      <c r="AG53" s="58"/>
      <c r="AH53" s="58"/>
      <c r="AI53" s="58"/>
      <c r="AJ53" s="58"/>
      <c r="AK53" s="54"/>
      <c r="AL53" s="58"/>
      <c r="AM53" s="102"/>
      <c r="AP53" s="46" t="str">
        <f t="shared" si="1"/>
        <v>Добавить схему подключения</v>
      </c>
      <c r="AS53" s="4">
        <v>14</v>
      </c>
    </row>
    <row r="54" spans="1:45" s="46" customFormat="1" ht="1.1499999999999999" customHeight="1">
      <c r="A54" s="46" t="s">
        <v>197</v>
      </c>
      <c r="B54" s="46" t="s">
        <v>198</v>
      </c>
      <c r="C54" s="46" t="s">
        <v>199</v>
      </c>
      <c r="E54" s="747"/>
      <c r="F54" s="747"/>
      <c r="G54" s="745"/>
      <c r="Q54" s="446"/>
      <c r="S54" s="449"/>
      <c r="T54" s="160" t="s">
        <v>417</v>
      </c>
      <c r="U54" s="160"/>
      <c r="V54" s="160"/>
      <c r="W54" s="160"/>
      <c r="X54" s="160"/>
      <c r="Y54" s="160"/>
      <c r="Z54" s="160"/>
      <c r="AA54" s="160"/>
      <c r="AB54" s="160"/>
      <c r="AC54" s="160"/>
      <c r="AD54" s="160"/>
      <c r="AE54" s="160"/>
      <c r="AF54" s="160"/>
      <c r="AG54" s="160"/>
      <c r="AH54" s="160"/>
      <c r="AI54" s="160"/>
      <c r="AJ54" s="160"/>
      <c r="AK54" s="160"/>
      <c r="AL54" s="160"/>
      <c r="AM54" s="160"/>
      <c r="AP54" s="46" t="str">
        <f t="shared" si="1"/>
        <v>Добавить источник для дифференциации</v>
      </c>
      <c r="AS54" s="46">
        <v>1</v>
      </c>
    </row>
    <row r="55" spans="1:45" s="46" customFormat="1" ht="1.1499999999999999" customHeight="1">
      <c r="A55" s="46" t="s">
        <v>197</v>
      </c>
      <c r="B55" s="46" t="s">
        <v>198</v>
      </c>
      <c r="E55" s="747"/>
      <c r="F55" s="745"/>
      <c r="M55" s="160"/>
      <c r="N55" s="160"/>
      <c r="Q55" s="446"/>
      <c r="S55" s="449"/>
      <c r="T55" s="160" t="s">
        <v>418</v>
      </c>
      <c r="U55" s="160"/>
      <c r="V55" s="160"/>
      <c r="W55" s="160"/>
      <c r="X55" s="160"/>
      <c r="Y55" s="160"/>
      <c r="Z55" s="160"/>
      <c r="AA55" s="160"/>
      <c r="AB55" s="160"/>
      <c r="AC55" s="160"/>
      <c r="AD55" s="160"/>
      <c r="AE55" s="160"/>
      <c r="AF55" s="160"/>
      <c r="AG55" s="160"/>
      <c r="AH55" s="160"/>
      <c r="AI55" s="160"/>
      <c r="AJ55" s="160"/>
      <c r="AK55" s="160"/>
      <c r="AL55" s="160"/>
      <c r="AM55" s="160"/>
      <c r="AP55" s="46" t="str">
        <f t="shared" si="1"/>
        <v>Добавить централизованную систему для дифференциации</v>
      </c>
      <c r="AS55" s="46">
        <v>1</v>
      </c>
    </row>
    <row r="56" spans="1:45" s="46" customFormat="1" ht="1.1499999999999999" customHeight="1">
      <c r="A56" s="46" t="s">
        <v>197</v>
      </c>
      <c r="E56" s="745"/>
      <c r="M56" s="160"/>
      <c r="N56" s="160"/>
      <c r="Q56" s="446"/>
      <c r="S56" s="449"/>
      <c r="T56" s="160" t="s">
        <v>419</v>
      </c>
      <c r="U56" s="160"/>
      <c r="V56" s="160"/>
      <c r="W56" s="160"/>
      <c r="X56" s="160"/>
      <c r="Y56" s="160"/>
      <c r="Z56" s="160"/>
      <c r="AA56" s="160"/>
      <c r="AB56" s="160"/>
      <c r="AC56" s="160"/>
      <c r="AD56" s="160"/>
      <c r="AE56" s="160"/>
      <c r="AF56" s="160"/>
      <c r="AG56" s="160"/>
      <c r="AH56" s="160"/>
      <c r="AI56" s="160"/>
      <c r="AJ56" s="160"/>
      <c r="AK56" s="160"/>
      <c r="AL56" s="160"/>
      <c r="AM56" s="160"/>
      <c r="AP56" s="46" t="str">
        <f t="shared" si="1"/>
        <v>Добавить территорию для дифференциации</v>
      </c>
      <c r="AS56" s="46">
        <v>1</v>
      </c>
    </row>
    <row r="57" spans="1:45" s="46" customFormat="1" ht="1.1499999999999999" customHeight="1">
      <c r="M57" s="160"/>
      <c r="N57" s="160"/>
      <c r="Q57" s="446"/>
      <c r="S57" s="449"/>
      <c r="T57" s="160" t="s">
        <v>451</v>
      </c>
      <c r="U57" s="160"/>
      <c r="V57" s="160"/>
      <c r="W57" s="160"/>
      <c r="X57" s="160"/>
      <c r="Y57" s="160"/>
      <c r="Z57" s="160"/>
      <c r="AA57" s="160"/>
      <c r="AB57" s="160"/>
      <c r="AC57" s="160"/>
      <c r="AD57" s="160"/>
      <c r="AE57" s="160"/>
      <c r="AF57" s="160"/>
      <c r="AG57" s="160"/>
      <c r="AH57" s="160"/>
      <c r="AI57" s="160"/>
      <c r="AJ57" s="160"/>
      <c r="AK57" s="160"/>
      <c r="AL57" s="160"/>
      <c r="AM57" s="160"/>
      <c r="AP57" s="46" t="str">
        <f t="shared" si="1"/>
        <v>Добавить наименование тарифа</v>
      </c>
      <c r="AS57" s="46">
        <v>1</v>
      </c>
    </row>
    <row r="58" spans="1:45" ht="11.45" customHeight="1">
      <c r="M58" s="43"/>
      <c r="N58" s="43"/>
      <c r="O58" s="43"/>
      <c r="P58" s="4"/>
      <c r="Q58" s="4"/>
      <c r="R58" s="4"/>
      <c r="AN58" s="4"/>
      <c r="AO58" s="4"/>
      <c r="AP58" s="4"/>
      <c r="AQ58" s="4"/>
      <c r="AR58" s="4"/>
      <c r="AS58" s="4">
        <v>11</v>
      </c>
    </row>
    <row r="59" spans="1:45" ht="28.5" customHeight="1">
      <c r="O59" s="43"/>
      <c r="T59" s="665"/>
      <c r="U59" s="665"/>
      <c r="V59" s="665"/>
      <c r="W59" s="665"/>
      <c r="X59" s="665"/>
      <c r="Y59" s="665"/>
      <c r="Z59" s="665"/>
      <c r="AA59" s="665"/>
      <c r="AB59" s="665"/>
      <c r="AC59" s="665"/>
      <c r="AD59" s="665"/>
      <c r="AE59" s="665"/>
      <c r="AF59" s="665"/>
      <c r="AG59" s="665"/>
      <c r="AH59" s="665"/>
      <c r="AI59" s="665"/>
      <c r="AJ59" s="665"/>
      <c r="AK59" s="665"/>
      <c r="AL59" s="665"/>
      <c r="AM59" s="665"/>
      <c r="AS59" s="4">
        <v>27</v>
      </c>
    </row>
    <row r="60" spans="1:45" ht="78.75" customHeight="1">
      <c r="O60" s="43"/>
      <c r="T60" s="665"/>
      <c r="U60" s="665"/>
      <c r="V60" s="665"/>
      <c r="W60" s="665"/>
      <c r="X60" s="665"/>
      <c r="Y60" s="665"/>
      <c r="Z60" s="665"/>
      <c r="AA60" s="665"/>
      <c r="AB60" s="665"/>
      <c r="AC60" s="665"/>
      <c r="AD60" s="665"/>
      <c r="AE60" s="665"/>
      <c r="AF60" s="665"/>
      <c r="AG60" s="665"/>
      <c r="AH60" s="665"/>
      <c r="AI60" s="665"/>
      <c r="AJ60" s="665"/>
      <c r="AK60" s="665"/>
      <c r="AL60" s="665"/>
      <c r="AM60" s="665"/>
      <c r="AS60" s="4">
        <v>75</v>
      </c>
    </row>
    <row r="61" spans="1:45" ht="14.65" customHeight="1">
      <c r="O61" s="43"/>
      <c r="AS61" s="4">
        <v>14</v>
      </c>
    </row>
    <row r="62" spans="1:45" ht="18.75" customHeight="1">
      <c r="O62" s="43"/>
      <c r="T62" s="665"/>
      <c r="U62" s="665"/>
      <c r="V62" s="665"/>
      <c r="W62" s="665"/>
      <c r="X62" s="665"/>
      <c r="Y62" s="665"/>
      <c r="Z62" s="665"/>
      <c r="AA62" s="665"/>
      <c r="AB62" s="665"/>
      <c r="AC62" s="665"/>
      <c r="AD62" s="665"/>
      <c r="AE62" s="665"/>
      <c r="AF62" s="665"/>
      <c r="AG62" s="665"/>
      <c r="AH62" s="665"/>
      <c r="AI62" s="665"/>
      <c r="AJ62" s="665"/>
      <c r="AK62" s="665"/>
      <c r="AL62" s="665"/>
      <c r="AM62" s="665"/>
      <c r="AS62" s="4">
        <v>18</v>
      </c>
    </row>
    <row r="63" spans="1:45" ht="18.75" customHeight="1">
      <c r="O63" s="43"/>
      <c r="T63" s="665"/>
      <c r="U63" s="665"/>
      <c r="V63" s="665"/>
      <c r="W63" s="665"/>
      <c r="X63" s="665"/>
      <c r="Y63" s="665"/>
      <c r="Z63" s="665"/>
      <c r="AA63" s="665"/>
      <c r="AB63" s="665"/>
      <c r="AC63" s="665"/>
      <c r="AD63" s="665"/>
      <c r="AE63" s="665"/>
      <c r="AF63" s="665"/>
      <c r="AG63" s="665"/>
      <c r="AH63" s="665"/>
      <c r="AI63" s="665"/>
      <c r="AJ63" s="665"/>
      <c r="AK63" s="665"/>
      <c r="AL63" s="665"/>
      <c r="AM63" s="665"/>
      <c r="AS63" s="4">
        <v>18</v>
      </c>
    </row>
    <row r="64" spans="1:45" ht="39.75" customHeight="1">
      <c r="O64" s="43"/>
      <c r="T64" s="665"/>
      <c r="U64" s="665"/>
      <c r="V64" s="665"/>
      <c r="W64" s="665"/>
      <c r="X64" s="665"/>
      <c r="Y64" s="665"/>
      <c r="Z64" s="665"/>
      <c r="AA64" s="665"/>
      <c r="AB64" s="665"/>
      <c r="AC64" s="665"/>
      <c r="AD64" s="665"/>
      <c r="AE64" s="665"/>
      <c r="AF64" s="665"/>
      <c r="AG64" s="665"/>
      <c r="AH64" s="665"/>
      <c r="AI64" s="665"/>
      <c r="AJ64" s="665"/>
      <c r="AK64" s="665"/>
      <c r="AL64" s="665"/>
      <c r="AM64" s="665"/>
      <c r="AS64" s="4">
        <v>38</v>
      </c>
    </row>
    <row r="65" spans="1:45" ht="22.5" hidden="1" customHeight="1">
      <c r="A65" s="43" t="s">
        <v>82</v>
      </c>
      <c r="B65" s="43">
        <v>0</v>
      </c>
      <c r="C65" s="43">
        <v>0</v>
      </c>
      <c r="D65" s="43">
        <v>0</v>
      </c>
      <c r="E65" s="43">
        <v>0</v>
      </c>
      <c r="F65" s="43">
        <v>0</v>
      </c>
      <c r="G65" s="43">
        <v>0</v>
      </c>
      <c r="H65" s="43">
        <v>0</v>
      </c>
      <c r="I65" s="43">
        <v>0</v>
      </c>
      <c r="J65" s="43">
        <v>0</v>
      </c>
      <c r="K65" s="43">
        <v>0</v>
      </c>
      <c r="L65" s="43">
        <v>0</v>
      </c>
      <c r="M65" s="167">
        <v>0</v>
      </c>
      <c r="N65" s="167">
        <v>0</v>
      </c>
      <c r="O65" s="167">
        <v>0</v>
      </c>
      <c r="P65" s="23">
        <v>3</v>
      </c>
      <c r="Q65" s="20">
        <v>3</v>
      </c>
      <c r="R65" s="20">
        <v>3</v>
      </c>
      <c r="S65" s="4">
        <v>12</v>
      </c>
      <c r="T65" s="4">
        <v>31</v>
      </c>
      <c r="U65" s="4">
        <v>0</v>
      </c>
      <c r="V65" s="4">
        <v>0</v>
      </c>
      <c r="W65" s="4">
        <v>0</v>
      </c>
      <c r="X65" s="4">
        <v>0</v>
      </c>
      <c r="Y65" s="4">
        <v>0</v>
      </c>
      <c r="Z65" s="4">
        <v>0</v>
      </c>
      <c r="AA65" s="4">
        <v>0</v>
      </c>
      <c r="AB65" s="4">
        <v>0</v>
      </c>
      <c r="AC65" s="4">
        <v>0</v>
      </c>
      <c r="AD65" s="4">
        <v>0</v>
      </c>
      <c r="AE65" s="4">
        <v>24</v>
      </c>
      <c r="AF65" s="4">
        <v>0</v>
      </c>
      <c r="AG65" s="4">
        <v>0</v>
      </c>
      <c r="AH65" s="4">
        <v>11</v>
      </c>
      <c r="AI65" s="4">
        <v>3</v>
      </c>
      <c r="AJ65" s="4">
        <v>11</v>
      </c>
      <c r="AK65" s="4">
        <v>0</v>
      </c>
      <c r="AL65" s="4">
        <v>4</v>
      </c>
      <c r="AM65" s="4">
        <v>115</v>
      </c>
      <c r="AN65" s="46">
        <v>10</v>
      </c>
      <c r="AO65" s="46">
        <v>10</v>
      </c>
      <c r="AP65" s="46">
        <v>10</v>
      </c>
      <c r="AQ65" s="46">
        <v>10</v>
      </c>
      <c r="AR65" s="46">
        <v>10</v>
      </c>
      <c r="AS65" s="4">
        <v>23</v>
      </c>
    </row>
  </sheetData>
  <sheetProtection formatColumns="0" formatRows="0" insertRows="0" deleteColumns="0" deleteRows="0" sort="0" autoFilter="0"/>
  <mergeCells count="110">
    <mergeCell ref="E2:E15"/>
    <mergeCell ref="F3:F14"/>
    <mergeCell ref="G4:G13"/>
    <mergeCell ref="H5:H12"/>
    <mergeCell ref="I6:I11"/>
    <mergeCell ref="P6:P11"/>
    <mergeCell ref="J7:J10"/>
    <mergeCell ref="Q7:Q10"/>
    <mergeCell ref="K8:K9"/>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AM38:AM41"/>
    <mergeCell ref="S39:S41"/>
    <mergeCell ref="T39:T41"/>
    <mergeCell ref="V39:AB39"/>
    <mergeCell ref="AC39:AC41"/>
    <mergeCell ref="AD39:AJ39"/>
    <mergeCell ref="AK39:AK41"/>
    <mergeCell ref="AL39:AL41"/>
    <mergeCell ref="V40:V41"/>
    <mergeCell ref="W40:W41"/>
    <mergeCell ref="Z40:AB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xr:uid="{00000000-0002-0000-0E00-00000000000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xr:uid="{00000000-0002-0000-0E00-00000100000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xr:uid="{00000000-0002-0000-0E00-000002000000}"/>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xr:uid="{00000000-0002-0000-0E00-00000300000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xr:uid="{00000000-0002-0000-0E00-000004000000}">
      <formula1>kind_of_scheme_in</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xr:uid="{00000000-0002-0000-0E00-000005000000}">
      <formula1>kind_of_heat_transfer</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xr:uid="{00000000-0002-0000-0E00-000006000000}">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xr:uid="{00000000-0002-0000-0E00-00000700000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83F721-1638-A502-B45D-19E90D51DFDD}">
  <sheetPr>
    <tabColor theme="6" tint="0.39997558519241921"/>
  </sheetPr>
  <dimension ref="A1:AS66"/>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43" hidden="1"/>
    <col min="2" max="2" width="11" style="43" hidden="1" customWidth="1"/>
    <col min="3" max="3" width="10.5703125" style="43" hidden="1"/>
    <col min="4" max="4" width="11.85546875" style="43" hidden="1" customWidth="1"/>
    <col min="5" max="5" width="10" style="43" hidden="1" customWidth="1"/>
    <col min="6" max="6" width="8.7109375" style="43" hidden="1" customWidth="1"/>
    <col min="7" max="7" width="7.5703125" style="43" hidden="1" customWidth="1"/>
    <col min="8" max="8" width="11.42578125" style="43" hidden="1" customWidth="1"/>
    <col min="9" max="9" width="12" style="43" hidden="1" customWidth="1"/>
    <col min="10" max="10" width="9.85546875" style="43" hidden="1" customWidth="1"/>
    <col min="11" max="11" width="11.42578125" style="43" hidden="1" customWidth="1"/>
    <col min="12" max="12" width="19.140625" style="43" hidden="1" customWidth="1"/>
    <col min="13" max="14" width="12.28515625" style="167" hidden="1" customWidth="1"/>
    <col min="15" max="15" width="23.42578125" style="167" hidden="1" customWidth="1"/>
    <col min="16" max="16" width="3.7109375" style="23" hidden="1" customWidth="1"/>
    <col min="17" max="18" width="3" style="20" customWidth="1"/>
    <col min="19" max="19" width="12" style="4" customWidth="1"/>
    <col min="20" max="20" width="31" style="4" customWidth="1"/>
    <col min="21" max="21" width="0.140625" style="4" customWidth="1"/>
    <col min="22" max="22" width="24.7109375" style="4" hidden="1" customWidth="1"/>
    <col min="23" max="23" width="0.140625" style="4" hidden="1" customWidth="1"/>
    <col min="24" max="25" width="24.7109375" style="4" hidden="1" customWidth="1"/>
    <col min="26" max="26" width="11.7109375" style="4" hidden="1" customWidth="1"/>
    <col min="27" max="27" width="3.7109375" style="4" hidden="1" customWidth="1"/>
    <col min="28" max="28" width="11.7109375" style="4" hidden="1" customWidth="1"/>
    <col min="29" max="29" width="8.5703125" style="4" hidden="1" customWidth="1"/>
    <col min="30" max="30" width="24.7109375" style="4" customWidth="1"/>
    <col min="31" max="31" width="0.140625" style="4" customWidth="1"/>
    <col min="32" max="33" width="24" style="4" customWidth="1"/>
    <col min="34" max="34" width="11" style="4" customWidth="1"/>
    <col min="35" max="35" width="3.7109375" style="4" customWidth="1"/>
    <col min="36" max="36" width="11" style="4" customWidth="1"/>
    <col min="37" max="37" width="8.5703125" style="4" hidden="1" customWidth="1"/>
    <col min="38" max="38" width="4" style="4" customWidth="1"/>
    <col min="39" max="39" width="115" style="4" customWidth="1"/>
    <col min="40" max="44" width="10" style="46" customWidth="1"/>
    <col min="45" max="45" width="8.42578125" style="4" hidden="1" customWidth="1"/>
  </cols>
  <sheetData>
    <row r="1" spans="5:45" ht="22.5" hidden="1" customHeight="1">
      <c r="AS1" s="4" t="s">
        <v>14</v>
      </c>
    </row>
    <row r="2" spans="5:45" ht="21" hidden="1" customHeight="1">
      <c r="E2" s="745">
        <v>1</v>
      </c>
      <c r="M2" s="43"/>
      <c r="N2" s="43"/>
      <c r="O2" s="43"/>
      <c r="Q2" s="4"/>
      <c r="R2" s="119"/>
      <c r="S2" s="24" t="e">
        <f>INDEX(PT_DIFFERENTIATION_NUM_NTAR,MATCH(A2,PT_DIFFERENTIATION_NTAR_ID,0))</f>
        <v>#N/A</v>
      </c>
      <c r="T2" s="29" t="s">
        <v>128</v>
      </c>
      <c r="U2" s="29"/>
      <c r="V2" s="742"/>
      <c r="W2" s="743"/>
      <c r="X2" s="743"/>
      <c r="Y2" s="743"/>
      <c r="Z2" s="743"/>
      <c r="AA2" s="743"/>
      <c r="AB2" s="743"/>
      <c r="AC2" s="744"/>
      <c r="AD2" s="742" t="e">
        <f>INDEX(PT_DIFFERENTIATION_NTAR,MATCH(A2,PT_DIFFERENTIATION_NTAR_ID,0))</f>
        <v>#N/A</v>
      </c>
      <c r="AE2" s="743"/>
      <c r="AF2" s="743"/>
      <c r="AG2" s="743"/>
      <c r="AH2" s="743"/>
      <c r="AI2" s="743"/>
      <c r="AJ2" s="743"/>
      <c r="AK2" s="743"/>
      <c r="AL2" s="744"/>
      <c r="AM2" s="428" t="s">
        <v>399</v>
      </c>
      <c r="AP2" s="46" t="str">
        <f t="shared" ref="AP2:AP15" si="0">IF(T2="","",T2)</f>
        <v>Наименование тарифа</v>
      </c>
      <c r="AS2" s="4">
        <v>0</v>
      </c>
    </row>
    <row r="3" spans="5:45" ht="21" hidden="1" customHeight="1">
      <c r="E3" s="747"/>
      <c r="F3" s="745">
        <v>1</v>
      </c>
      <c r="M3" s="43"/>
      <c r="N3" s="43"/>
      <c r="O3" s="43"/>
      <c r="P3" s="4"/>
      <c r="Q3" s="118"/>
      <c r="R3" s="119"/>
      <c r="S3" s="24" t="e">
        <f>INDEX(PT_DIFFERENTIATION_NUM_TER,MATCH(B3,PT_DIFFERENTIATION_TER_ID,0))</f>
        <v>#N/A</v>
      </c>
      <c r="T3" s="24" t="s">
        <v>400</v>
      </c>
      <c r="U3" s="29"/>
      <c r="V3" s="742"/>
      <c r="W3" s="743"/>
      <c r="X3" s="743"/>
      <c r="Y3" s="743"/>
      <c r="Z3" s="743"/>
      <c r="AA3" s="743"/>
      <c r="AB3" s="743"/>
      <c r="AC3" s="744"/>
      <c r="AD3" s="742" t="e">
        <f>INDEX(PT_DIFFERENTIATION_TER,MATCH(B3,PT_DIFFERENTIATION_TER_ID,0))</f>
        <v>#N/A</v>
      </c>
      <c r="AE3" s="743"/>
      <c r="AF3" s="743"/>
      <c r="AG3" s="743"/>
      <c r="AH3" s="743"/>
      <c r="AI3" s="743"/>
      <c r="AJ3" s="743"/>
      <c r="AK3" s="743"/>
      <c r="AL3" s="744"/>
      <c r="AM3" s="428" t="s">
        <v>401</v>
      </c>
      <c r="AP3" s="46" t="str">
        <f t="shared" si="0"/>
        <v>Территория действия тарифа</v>
      </c>
      <c r="AS3" s="4">
        <v>0</v>
      </c>
    </row>
    <row r="4" spans="5:45" ht="23.25" hidden="1" customHeight="1">
      <c r="E4" s="747"/>
      <c r="F4" s="747"/>
      <c r="G4" s="745">
        <v>1</v>
      </c>
      <c r="M4" s="43"/>
      <c r="N4" s="43"/>
      <c r="O4" s="43"/>
      <c r="P4" s="16"/>
      <c r="Q4" s="118"/>
      <c r="R4" s="119"/>
      <c r="S4" s="24" t="e">
        <f>INDEX(PT_DIFFERENTIATION_NUM_CS,MATCH(C4,PT_DIFFERENTIATION_CS_ID,0))</f>
        <v>#N/A</v>
      </c>
      <c r="T4" s="24" t="s">
        <v>402</v>
      </c>
      <c r="U4" s="29"/>
      <c r="V4" s="742"/>
      <c r="W4" s="743"/>
      <c r="X4" s="743"/>
      <c r="Y4" s="743"/>
      <c r="Z4" s="743"/>
      <c r="AA4" s="743"/>
      <c r="AB4" s="743"/>
      <c r="AC4" s="744"/>
      <c r="AD4" s="742" t="e">
        <f>INDEX(PT_DIFFERENTIATION_CS,MATCH(C4,PT_DIFFERENTIATION_CS_ID,0))</f>
        <v>#N/A</v>
      </c>
      <c r="AE4" s="743"/>
      <c r="AF4" s="743"/>
      <c r="AG4" s="743"/>
      <c r="AH4" s="743"/>
      <c r="AI4" s="743"/>
      <c r="AJ4" s="743"/>
      <c r="AK4" s="743"/>
      <c r="AL4" s="744"/>
      <c r="AM4" s="428" t="s">
        <v>403</v>
      </c>
      <c r="AP4" s="46" t="str">
        <f t="shared" si="0"/>
        <v xml:space="preserve">Наименование системы теплоснабжения </v>
      </c>
      <c r="AS4" s="4">
        <v>0</v>
      </c>
    </row>
    <row r="5" spans="5:45" ht="21" hidden="1" customHeight="1">
      <c r="E5" s="747"/>
      <c r="F5" s="747"/>
      <c r="G5" s="747"/>
      <c r="H5" s="745">
        <v>1</v>
      </c>
      <c r="M5" s="43"/>
      <c r="N5" s="43"/>
      <c r="O5" s="43"/>
      <c r="P5" s="16"/>
      <c r="Q5" s="118"/>
      <c r="R5" s="119"/>
      <c r="S5" s="24" t="e">
        <f>INDEX(PT_DIFFERENTIATION_NUM_IST_TE,MATCH(D5,PT_DIFFERENTIATION_IST_TE_ID,0))</f>
        <v>#N/A</v>
      </c>
      <c r="T5" s="24" t="s">
        <v>404</v>
      </c>
      <c r="U5" s="29"/>
      <c r="V5" s="742"/>
      <c r="W5" s="743"/>
      <c r="X5" s="743"/>
      <c r="Y5" s="743"/>
      <c r="Z5" s="743"/>
      <c r="AA5" s="743"/>
      <c r="AB5" s="743"/>
      <c r="AC5" s="744"/>
      <c r="AD5" s="742" t="e">
        <f>INDEX(PT_DIFFERENTIATION_IST_TE,MATCH(D5,PT_DIFFERENTIATION_IST_TE_ID,0))</f>
        <v>#N/A</v>
      </c>
      <c r="AE5" s="743"/>
      <c r="AF5" s="743"/>
      <c r="AG5" s="743"/>
      <c r="AH5" s="743"/>
      <c r="AI5" s="743"/>
      <c r="AJ5" s="743"/>
      <c r="AK5" s="743"/>
      <c r="AL5" s="744"/>
      <c r="AM5" s="428" t="s">
        <v>405</v>
      </c>
      <c r="AP5" s="46" t="str">
        <f t="shared" si="0"/>
        <v xml:space="preserve">Источник тепловой энергии  </v>
      </c>
      <c r="AS5" s="4">
        <v>0</v>
      </c>
    </row>
    <row r="6" spans="5:45" ht="14.25" hidden="1" customHeight="1">
      <c r="E6" s="747"/>
      <c r="F6" s="747"/>
      <c r="G6" s="747"/>
      <c r="H6" s="747"/>
      <c r="I6" s="745" t="e">
        <f>S5&amp;".1"</f>
        <v>#N/A</v>
      </c>
      <c r="L6" s="43" t="s">
        <v>406</v>
      </c>
      <c r="M6" s="43"/>
      <c r="P6" s="748">
        <v>1</v>
      </c>
      <c r="Q6" s="46"/>
      <c r="R6" s="120"/>
      <c r="S6" s="174"/>
      <c r="T6" s="174"/>
      <c r="U6" s="174"/>
      <c r="V6" s="768"/>
      <c r="W6" s="769"/>
      <c r="X6" s="769"/>
      <c r="Y6" s="769"/>
      <c r="Z6" s="769"/>
      <c r="AA6" s="769"/>
      <c r="AB6" s="769"/>
      <c r="AC6" s="770"/>
      <c r="AD6" s="768"/>
      <c r="AE6" s="769"/>
      <c r="AF6" s="769"/>
      <c r="AG6" s="769"/>
      <c r="AH6" s="769"/>
      <c r="AI6" s="769"/>
      <c r="AJ6" s="769"/>
      <c r="AK6" s="769"/>
      <c r="AL6" s="770"/>
      <c r="AM6" s="174"/>
      <c r="AP6" s="46" t="str">
        <f t="shared" si="0"/>
        <v/>
      </c>
      <c r="AS6" s="4">
        <v>0</v>
      </c>
    </row>
    <row r="7" spans="5:45" ht="21" hidden="1" customHeight="1">
      <c r="E7" s="747"/>
      <c r="F7" s="747"/>
      <c r="G7" s="747"/>
      <c r="H7" s="747"/>
      <c r="I7" s="747"/>
      <c r="J7" s="745" t="e">
        <f>I6&amp;".1"</f>
        <v>#N/A</v>
      </c>
      <c r="L7" s="43" t="s">
        <v>409</v>
      </c>
      <c r="M7" s="43"/>
      <c r="N7" s="43"/>
      <c r="P7" s="748"/>
      <c r="Q7" s="748">
        <v>1</v>
      </c>
      <c r="R7" s="120"/>
      <c r="S7" s="24" t="e">
        <f>$J7</f>
        <v>#N/A</v>
      </c>
      <c r="T7" s="24" t="s">
        <v>410</v>
      </c>
      <c r="U7" s="29"/>
      <c r="V7" s="737"/>
      <c r="W7" s="738"/>
      <c r="X7" s="738"/>
      <c r="Y7" s="738"/>
      <c r="Z7" s="738"/>
      <c r="AA7" s="738"/>
      <c r="AB7" s="738"/>
      <c r="AC7" s="739"/>
      <c r="AD7" s="737"/>
      <c r="AE7" s="738"/>
      <c r="AF7" s="738"/>
      <c r="AG7" s="738"/>
      <c r="AH7" s="738"/>
      <c r="AI7" s="738"/>
      <c r="AJ7" s="738"/>
      <c r="AK7" s="738"/>
      <c r="AL7" s="739"/>
      <c r="AM7" s="428" t="s">
        <v>411</v>
      </c>
      <c r="AP7" s="46" t="str">
        <f t="shared" si="0"/>
        <v>Группа потребителей</v>
      </c>
      <c r="AS7" s="4">
        <v>0</v>
      </c>
    </row>
    <row r="8" spans="5:45" ht="21" hidden="1" customHeight="1">
      <c r="E8" s="747"/>
      <c r="F8" s="747"/>
      <c r="G8" s="747"/>
      <c r="H8" s="747"/>
      <c r="I8" s="747"/>
      <c r="J8" s="747"/>
      <c r="K8" s="745" t="e">
        <f>J7&amp;".1"</f>
        <v>#N/A</v>
      </c>
      <c r="L8" s="43" t="s">
        <v>412</v>
      </c>
      <c r="M8" s="43"/>
      <c r="N8" s="43"/>
      <c r="O8" s="43"/>
      <c r="P8" s="748"/>
      <c r="Q8" s="748"/>
      <c r="R8" s="120">
        <v>1</v>
      </c>
      <c r="S8" s="24" t="e">
        <f>$K8</f>
        <v>#N/A</v>
      </c>
      <c r="T8" s="356"/>
      <c r="U8" s="29"/>
      <c r="V8" s="168"/>
      <c r="W8" s="110"/>
      <c r="X8" s="168"/>
      <c r="Y8" s="427"/>
      <c r="Z8" s="749"/>
      <c r="AA8" s="688" t="s">
        <v>66</v>
      </c>
      <c r="AB8" s="749"/>
      <c r="AC8" s="688" t="s">
        <v>66</v>
      </c>
      <c r="AD8" s="168"/>
      <c r="AE8" s="110"/>
      <c r="AF8" s="168"/>
      <c r="AG8" s="427"/>
      <c r="AH8" s="749"/>
      <c r="AI8" s="688" t="s">
        <v>66</v>
      </c>
      <c r="AJ8" s="749"/>
      <c r="AK8" s="688" t="s">
        <v>66</v>
      </c>
      <c r="AL8" s="110"/>
      <c r="AM8" s="762" t="s">
        <v>413</v>
      </c>
      <c r="AN8" s="46" t="e">
        <f ca="1">STRCHECKDATE(V9:AL9)</f>
        <v>#NAME?</v>
      </c>
      <c r="AP8" s="46" t="str">
        <f t="shared" si="0"/>
        <v/>
      </c>
      <c r="AS8" s="4">
        <v>0</v>
      </c>
    </row>
    <row r="9" spans="5:45" ht="0.75" hidden="1" customHeight="1">
      <c r="E9" s="747"/>
      <c r="F9" s="747"/>
      <c r="G9" s="747"/>
      <c r="H9" s="747"/>
      <c r="I9" s="747"/>
      <c r="J9" s="747"/>
      <c r="K9" s="745"/>
      <c r="M9" s="43"/>
      <c r="N9" s="43"/>
      <c r="O9" s="43"/>
      <c r="P9" s="748"/>
      <c r="Q9" s="748"/>
      <c r="R9" s="120"/>
      <c r="S9" s="31"/>
      <c r="T9" s="29"/>
      <c r="U9" s="29"/>
      <c r="V9" s="110"/>
      <c r="W9" s="110"/>
      <c r="X9" s="110"/>
      <c r="Y9" s="111" t="str">
        <f>Z8&amp;"-"&amp;AB8</f>
        <v>-</v>
      </c>
      <c r="Z9" s="707"/>
      <c r="AA9" s="688"/>
      <c r="AB9" s="707"/>
      <c r="AC9" s="688"/>
      <c r="AD9" s="110"/>
      <c r="AE9" s="110"/>
      <c r="AF9" s="110"/>
      <c r="AG9" s="111" t="str">
        <f>AH8&amp;"-"&amp;AJ8</f>
        <v>-</v>
      </c>
      <c r="AH9" s="707"/>
      <c r="AI9" s="688"/>
      <c r="AJ9" s="707"/>
      <c r="AK9" s="688"/>
      <c r="AL9" s="110"/>
      <c r="AM9" s="763"/>
      <c r="AP9" s="46" t="str">
        <f t="shared" si="0"/>
        <v/>
      </c>
      <c r="AS9" s="4">
        <v>0</v>
      </c>
    </row>
    <row r="10" spans="5:45" ht="15" hidden="1" customHeight="1">
      <c r="E10" s="747"/>
      <c r="F10" s="747"/>
      <c r="G10" s="747"/>
      <c r="H10" s="747"/>
      <c r="I10" s="747"/>
      <c r="J10" s="745"/>
      <c r="M10" s="43"/>
      <c r="N10" s="43"/>
      <c r="P10" s="748"/>
      <c r="Q10" s="748"/>
      <c r="R10" s="120"/>
      <c r="S10" s="434"/>
      <c r="T10" s="37" t="s">
        <v>414</v>
      </c>
      <c r="U10" s="58"/>
      <c r="V10" s="58"/>
      <c r="W10" s="58"/>
      <c r="X10" s="58"/>
      <c r="Y10" s="58"/>
      <c r="Z10" s="58"/>
      <c r="AA10" s="58"/>
      <c r="AB10" s="58"/>
      <c r="AC10" s="58"/>
      <c r="AD10" s="58"/>
      <c r="AE10" s="58"/>
      <c r="AF10" s="58"/>
      <c r="AG10" s="58"/>
      <c r="AH10" s="58"/>
      <c r="AI10" s="58"/>
      <c r="AJ10" s="58"/>
      <c r="AK10" s="58"/>
      <c r="AL10" s="59"/>
      <c r="AM10" s="764"/>
      <c r="AP10" s="46" t="str">
        <f t="shared" si="0"/>
        <v>Добавить вид теплоносителя (параметры теплоносителя)</v>
      </c>
      <c r="AS10" s="4">
        <v>0</v>
      </c>
    </row>
    <row r="11" spans="5:45" ht="15" hidden="1" customHeight="1">
      <c r="E11" s="747"/>
      <c r="F11" s="747"/>
      <c r="G11" s="747"/>
      <c r="H11" s="747"/>
      <c r="I11" s="745"/>
      <c r="M11" s="43"/>
      <c r="P11" s="748"/>
      <c r="Q11" s="46"/>
      <c r="R11" s="120"/>
      <c r="S11" s="434"/>
      <c r="T11" s="37" t="s">
        <v>415</v>
      </c>
      <c r="U11" s="58"/>
      <c r="V11" s="58"/>
      <c r="W11" s="58"/>
      <c r="X11" s="58"/>
      <c r="Y11" s="58"/>
      <c r="Z11" s="58"/>
      <c r="AA11" s="58"/>
      <c r="AB11" s="58"/>
      <c r="AC11" s="54"/>
      <c r="AD11" s="58"/>
      <c r="AE11" s="58"/>
      <c r="AF11" s="58"/>
      <c r="AG11" s="58"/>
      <c r="AH11" s="58"/>
      <c r="AI11" s="58"/>
      <c r="AJ11" s="58"/>
      <c r="AK11" s="54"/>
      <c r="AL11" s="58"/>
      <c r="AM11" s="102"/>
      <c r="AP11" s="46" t="str">
        <f t="shared" si="0"/>
        <v>Добавить группу потребителей</v>
      </c>
      <c r="AS11" s="4">
        <v>0</v>
      </c>
    </row>
    <row r="12" spans="5:45" ht="14.25" hidden="1" customHeight="1">
      <c r="E12" s="747"/>
      <c r="F12" s="747"/>
      <c r="G12" s="747"/>
      <c r="H12" s="745"/>
      <c r="M12" s="43"/>
      <c r="N12" s="43"/>
      <c r="O12" s="43"/>
      <c r="P12" s="4"/>
      <c r="R12" s="119"/>
      <c r="S12" s="455"/>
      <c r="T12" s="354"/>
      <c r="U12" s="354"/>
      <c r="V12" s="354"/>
      <c r="W12" s="354"/>
      <c r="X12" s="354"/>
      <c r="Y12" s="354"/>
      <c r="Z12" s="354"/>
      <c r="AA12" s="354"/>
      <c r="AB12" s="354"/>
      <c r="AC12" s="354"/>
      <c r="AD12" s="354"/>
      <c r="AE12" s="354"/>
      <c r="AF12" s="354"/>
      <c r="AG12" s="354"/>
      <c r="AH12" s="354"/>
      <c r="AI12" s="354"/>
      <c r="AJ12" s="354"/>
      <c r="AK12" s="354"/>
      <c r="AL12" s="354"/>
      <c r="AM12" s="314"/>
      <c r="AP12" s="46" t="str">
        <f t="shared" si="0"/>
        <v/>
      </c>
      <c r="AS12" s="4">
        <v>0</v>
      </c>
    </row>
    <row r="13" spans="5:45" s="46" customFormat="1" ht="0.75" hidden="1" customHeight="1">
      <c r="E13" s="747"/>
      <c r="F13" s="747"/>
      <c r="G13" s="745"/>
      <c r="Q13" s="446"/>
      <c r="S13" s="447"/>
      <c r="T13" s="448" t="s">
        <v>417</v>
      </c>
      <c r="U13" s="448"/>
      <c r="V13" s="448"/>
      <c r="W13" s="448"/>
      <c r="X13" s="448"/>
      <c r="Y13" s="448"/>
      <c r="Z13" s="448"/>
      <c r="AA13" s="448"/>
      <c r="AB13" s="448"/>
      <c r="AC13" s="448"/>
      <c r="AD13" s="448"/>
      <c r="AE13" s="448"/>
      <c r="AF13" s="448"/>
      <c r="AG13" s="448"/>
      <c r="AH13" s="448"/>
      <c r="AI13" s="448"/>
      <c r="AJ13" s="448"/>
      <c r="AK13" s="448"/>
      <c r="AL13" s="448"/>
      <c r="AM13" s="448"/>
      <c r="AP13" s="46" t="str">
        <f t="shared" si="0"/>
        <v>Добавить источник для дифференциации</v>
      </c>
      <c r="AS13" s="46">
        <v>0</v>
      </c>
    </row>
    <row r="14" spans="5:45" s="46" customFormat="1" ht="0.75" hidden="1" customHeight="1">
      <c r="E14" s="747"/>
      <c r="F14" s="745"/>
      <c r="M14" s="160"/>
      <c r="N14" s="160"/>
      <c r="Q14" s="446"/>
      <c r="S14" s="449"/>
      <c r="T14" s="160" t="s">
        <v>418</v>
      </c>
      <c r="U14" s="160"/>
      <c r="V14" s="160"/>
      <c r="W14" s="160"/>
      <c r="X14" s="160"/>
      <c r="Y14" s="160"/>
      <c r="Z14" s="160"/>
      <c r="AA14" s="160"/>
      <c r="AB14" s="160"/>
      <c r="AC14" s="160"/>
      <c r="AD14" s="160"/>
      <c r="AE14" s="160"/>
      <c r="AF14" s="160"/>
      <c r="AG14" s="160"/>
      <c r="AH14" s="160"/>
      <c r="AI14" s="160"/>
      <c r="AJ14" s="160"/>
      <c r="AK14" s="160"/>
      <c r="AL14" s="160"/>
      <c r="AM14" s="160"/>
      <c r="AP14" s="46" t="str">
        <f t="shared" si="0"/>
        <v>Добавить централизованную систему для дифференциации</v>
      </c>
      <c r="AS14" s="46">
        <v>0</v>
      </c>
    </row>
    <row r="15" spans="5:45" s="46" customFormat="1" ht="0.75" hidden="1" customHeight="1">
      <c r="E15" s="745"/>
      <c r="M15" s="160"/>
      <c r="N15" s="160"/>
      <c r="Q15" s="446"/>
      <c r="S15" s="449"/>
      <c r="T15" s="160" t="s">
        <v>419</v>
      </c>
      <c r="U15" s="160"/>
      <c r="V15" s="160"/>
      <c r="W15" s="160"/>
      <c r="X15" s="160"/>
      <c r="Y15" s="160"/>
      <c r="Z15" s="160"/>
      <c r="AA15" s="160"/>
      <c r="AB15" s="160"/>
      <c r="AC15" s="160"/>
      <c r="AD15" s="160"/>
      <c r="AE15" s="160"/>
      <c r="AF15" s="160"/>
      <c r="AG15" s="160"/>
      <c r="AH15" s="160"/>
      <c r="AI15" s="160"/>
      <c r="AJ15" s="160"/>
      <c r="AK15" s="160"/>
      <c r="AL15" s="160"/>
      <c r="AM15" s="160"/>
      <c r="AP15" s="46" t="str">
        <f t="shared" si="0"/>
        <v>Добавить территорию для дифференциации</v>
      </c>
      <c r="AS15" s="46">
        <v>0</v>
      </c>
    </row>
    <row r="16" spans="5:45" ht="14.25" hidden="1" customHeight="1">
      <c r="AS16" s="4">
        <v>0</v>
      </c>
    </row>
    <row r="17" spans="1:45" ht="14.25" hidden="1" customHeight="1">
      <c r="AD17" s="205"/>
      <c r="AE17" s="205"/>
      <c r="AF17" s="205"/>
      <c r="AG17" s="451"/>
      <c r="AH17" s="746"/>
      <c r="AI17" s="745" t="s">
        <v>66</v>
      </c>
      <c r="AJ17" s="746"/>
      <c r="AK17" s="745" t="s">
        <v>66</v>
      </c>
      <c r="AS17" s="4">
        <v>0</v>
      </c>
    </row>
    <row r="18" spans="1:45" ht="14.25" hidden="1" customHeight="1">
      <c r="AD18" s="205"/>
      <c r="AE18" s="205"/>
      <c r="AF18" s="205"/>
      <c r="AG18" s="111" t="str">
        <f>AH17&amp;"-"&amp;AJ17</f>
        <v>-</v>
      </c>
      <c r="AH18" s="745"/>
      <c r="AI18" s="745"/>
      <c r="AJ18" s="745"/>
      <c r="AK18" s="745"/>
      <c r="AS18" s="4">
        <v>0</v>
      </c>
    </row>
    <row r="19" spans="1:45" ht="14.25" hidden="1" customHeight="1">
      <c r="AS19" s="4">
        <v>0</v>
      </c>
    </row>
    <row r="20" spans="1:45" s="43" customFormat="1" ht="22.5" hidden="1" customHeight="1">
      <c r="M20" s="167"/>
      <c r="N20" s="167"/>
      <c r="O20" s="261" t="s">
        <v>420</v>
      </c>
      <c r="P20" s="167"/>
      <c r="Q20" s="452"/>
      <c r="R20" s="452"/>
      <c r="Z20" s="261"/>
      <c r="AB20" s="261"/>
      <c r="AH20" s="261"/>
      <c r="AJ20" s="261"/>
      <c r="AN20" s="46"/>
      <c r="AO20" s="46"/>
      <c r="AP20" s="46"/>
      <c r="AQ20" s="46"/>
      <c r="AR20" s="46"/>
      <c r="AS20" s="43">
        <v>0</v>
      </c>
    </row>
    <row r="21" spans="1:45" s="43" customFormat="1" ht="14.25" hidden="1" customHeight="1">
      <c r="M21" s="167"/>
      <c r="N21" s="167"/>
      <c r="O21" s="167"/>
      <c r="P21" s="167"/>
      <c r="Q21" s="452"/>
      <c r="R21" s="452"/>
      <c r="AN21" s="46"/>
      <c r="AO21" s="46"/>
      <c r="AP21" s="46"/>
      <c r="AQ21" s="46"/>
      <c r="AR21" s="46"/>
      <c r="AS21" s="43">
        <v>0</v>
      </c>
    </row>
    <row r="22" spans="1:45" s="43" customFormat="1" ht="14.25" hidden="1" customHeight="1">
      <c r="M22" s="167"/>
      <c r="N22" s="167"/>
      <c r="O22" s="43" t="s">
        <v>421</v>
      </c>
      <c r="P22" s="167"/>
      <c r="Q22" s="452"/>
      <c r="R22" s="452"/>
      <c r="T22" s="43" t="s">
        <v>422</v>
      </c>
      <c r="AA22" s="43" t="s">
        <v>423</v>
      </c>
      <c r="AC22" s="43" t="s">
        <v>424</v>
      </c>
      <c r="AD22" s="43" t="s">
        <v>422</v>
      </c>
      <c r="AI22" s="43" t="s">
        <v>425</v>
      </c>
      <c r="AK22" s="43" t="s">
        <v>424</v>
      </c>
      <c r="AN22" s="46"/>
      <c r="AO22" s="46"/>
      <c r="AP22" s="46"/>
      <c r="AQ22" s="46"/>
      <c r="AR22" s="46"/>
      <c r="AS22" s="43">
        <v>0</v>
      </c>
    </row>
    <row r="23" spans="1:45" ht="14.25" hidden="1" customHeight="1">
      <c r="O23" s="43"/>
      <c r="AS23" s="4">
        <v>0</v>
      </c>
    </row>
    <row r="24" spans="1:45" ht="14.25" hidden="1" customHeight="1">
      <c r="O24" s="43"/>
      <c r="AS24" s="4">
        <v>0</v>
      </c>
    </row>
    <row r="25" spans="1:45" ht="14.65" customHeight="1">
      <c r="Q25" s="19"/>
      <c r="R25" s="19"/>
      <c r="S25" s="6"/>
      <c r="T25" s="6"/>
      <c r="U25" s="6"/>
      <c r="AS25" s="4">
        <v>14</v>
      </c>
    </row>
    <row r="26" spans="1:45" ht="63" customHeight="1">
      <c r="Q26" s="19"/>
      <c r="R26" s="19"/>
      <c r="S26" s="697"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697"/>
      <c r="U26" s="697"/>
      <c r="V26" s="697"/>
      <c r="W26" s="697"/>
      <c r="X26" s="697"/>
      <c r="Y26" s="697"/>
      <c r="Z26" s="697"/>
      <c r="AA26" s="697"/>
      <c r="AB26" s="697"/>
      <c r="AC26" s="697"/>
      <c r="AD26" s="697"/>
      <c r="AE26" s="697"/>
      <c r="AF26" s="697"/>
      <c r="AG26" s="697"/>
      <c r="AH26" s="697"/>
      <c r="AI26" s="697"/>
      <c r="AJ26" s="697"/>
      <c r="AK26" s="40"/>
      <c r="AS26" s="4">
        <v>60</v>
      </c>
    </row>
    <row r="27" spans="1:45" ht="14.65" customHeight="1">
      <c r="Q27" s="19"/>
      <c r="R27" s="19"/>
      <c r="S27" s="712" t="str">
        <f>IF(org=0,"Не определено",org)</f>
        <v>ООО "Восточная Тепловая компания"</v>
      </c>
      <c r="T27" s="712"/>
      <c r="U27" s="712"/>
      <c r="V27" s="712"/>
      <c r="W27" s="712"/>
      <c r="X27" s="712"/>
      <c r="Y27" s="712"/>
      <c r="Z27" s="712"/>
      <c r="AA27" s="712"/>
      <c r="AB27" s="712"/>
      <c r="AC27" s="712"/>
      <c r="AD27" s="712"/>
      <c r="AE27" s="712"/>
      <c r="AF27" s="712"/>
      <c r="AG27" s="712"/>
      <c r="AH27" s="712"/>
      <c r="AI27" s="712"/>
      <c r="AJ27" s="712"/>
      <c r="AK27" s="40"/>
      <c r="AS27" s="4">
        <v>14</v>
      </c>
    </row>
    <row r="28" spans="1:45" ht="14.25" hidden="1" customHeight="1">
      <c r="Q28" s="19"/>
      <c r="R28" s="19"/>
      <c r="S28" s="6"/>
      <c r="T28" s="6"/>
      <c r="U28" s="6"/>
      <c r="V28" s="109"/>
      <c r="W28" s="109"/>
      <c r="X28" s="109"/>
      <c r="Y28" s="109"/>
      <c r="Z28" s="109"/>
      <c r="AA28" s="109"/>
      <c r="AB28" s="109"/>
      <c r="AC28" s="109"/>
      <c r="AD28" s="109"/>
      <c r="AE28" s="109"/>
      <c r="AF28" s="109"/>
      <c r="AG28" s="109"/>
      <c r="AH28" s="109"/>
      <c r="AI28" s="109"/>
      <c r="AJ28" s="109"/>
      <c r="AK28" s="109"/>
      <c r="AS28" s="4">
        <v>0</v>
      </c>
    </row>
    <row r="29" spans="1:45" s="22" customFormat="1" ht="25.5" hidden="1" customHeight="1">
      <c r="A29" s="43"/>
      <c r="B29" s="43"/>
      <c r="C29" s="43"/>
      <c r="D29" s="43"/>
      <c r="E29" s="43"/>
      <c r="F29" s="43"/>
      <c r="G29" s="43"/>
      <c r="H29" s="43"/>
      <c r="I29" s="43"/>
      <c r="J29" s="43"/>
      <c r="K29" s="43"/>
      <c r="L29" s="43"/>
      <c r="M29" s="43"/>
      <c r="N29" s="43"/>
      <c r="O29" s="43"/>
      <c r="S29" s="721" t="s">
        <v>42</v>
      </c>
      <c r="T29" s="721"/>
      <c r="U29" s="453"/>
      <c r="V29" s="741" t="str">
        <f>IF(TITLE_NAME_OR_PR_CHANGE="",IF(TITLE_NAME_OR_PR="","",TITLE_NAME_OR_PR),TITLE_NAME_OR_PR_CHANGE)</f>
        <v/>
      </c>
      <c r="W29" s="741"/>
      <c r="X29" s="741"/>
      <c r="Y29" s="741"/>
      <c r="Z29" s="741"/>
      <c r="AA29" s="741"/>
      <c r="AB29" s="741"/>
      <c r="AC29" s="4"/>
      <c r="AD29" s="741" t="str">
        <f>IF(TITLE_NAME_OR_PR_CHANGE="",IF(TITLE_NAME_OR_PR="","",TITLE_NAME_OR_PR),TITLE_NAME_OR_PR_CHANGE)</f>
        <v/>
      </c>
      <c r="AE29" s="741"/>
      <c r="AF29" s="741"/>
      <c r="AG29" s="741"/>
      <c r="AH29" s="741"/>
      <c r="AI29" s="741"/>
      <c r="AJ29" s="741"/>
      <c r="AK29" s="4"/>
      <c r="AL29" s="4"/>
      <c r="AM29" s="96"/>
      <c r="AN29" s="46"/>
      <c r="AO29" s="46"/>
      <c r="AP29" s="46"/>
      <c r="AQ29" s="46"/>
      <c r="AR29" s="46"/>
      <c r="AS29" s="22">
        <v>0</v>
      </c>
    </row>
    <row r="30" spans="1:45" s="22" customFormat="1" ht="18.75" hidden="1" customHeight="1">
      <c r="A30" s="43"/>
      <c r="B30" s="43"/>
      <c r="C30" s="43"/>
      <c r="D30" s="43"/>
      <c r="E30" s="43"/>
      <c r="F30" s="43"/>
      <c r="G30" s="43"/>
      <c r="H30" s="43"/>
      <c r="I30" s="43"/>
      <c r="J30" s="43"/>
      <c r="K30" s="43"/>
      <c r="L30" s="43"/>
      <c r="M30" s="43"/>
      <c r="N30" s="43"/>
      <c r="O30" s="43"/>
      <c r="S30" s="721" t="s">
        <v>426</v>
      </c>
      <c r="T30" s="721"/>
      <c r="U30" s="453"/>
      <c r="V30" s="740" t="str">
        <f>IF(TITLE_DATE_PR_CHANGE="",IF(TITLE_DATE_PR="","",TITLE_DATE_PR),TITLE_DATE_PR_CHANGE)</f>
        <v/>
      </c>
      <c r="W30" s="740"/>
      <c r="X30" s="740"/>
      <c r="Y30" s="740"/>
      <c r="Z30" s="740"/>
      <c r="AA30" s="740"/>
      <c r="AB30" s="740"/>
      <c r="AC30" s="4"/>
      <c r="AD30" s="740" t="str">
        <f>IF(TITLE_DATE_PR_CHANGE="",IF(TITLE_DATE_PR="","",TITLE_DATE_PR),TITLE_DATE_PR_CHANGE)</f>
        <v/>
      </c>
      <c r="AE30" s="740"/>
      <c r="AF30" s="740"/>
      <c r="AG30" s="740"/>
      <c r="AH30" s="740"/>
      <c r="AI30" s="740"/>
      <c r="AJ30" s="740"/>
      <c r="AK30" s="4"/>
      <c r="AL30" s="4"/>
      <c r="AM30" s="96"/>
      <c r="AN30" s="46"/>
      <c r="AO30" s="46"/>
      <c r="AP30" s="46"/>
      <c r="AQ30" s="46"/>
      <c r="AR30" s="46"/>
      <c r="AS30" s="22">
        <v>0</v>
      </c>
    </row>
    <row r="31" spans="1:45" s="22" customFormat="1" ht="18.75" hidden="1" customHeight="1">
      <c r="A31" s="43"/>
      <c r="B31" s="43"/>
      <c r="C31" s="43"/>
      <c r="D31" s="43"/>
      <c r="E31" s="43"/>
      <c r="F31" s="43"/>
      <c r="G31" s="43"/>
      <c r="H31" s="43"/>
      <c r="I31" s="43"/>
      <c r="J31" s="43"/>
      <c r="K31" s="43"/>
      <c r="L31" s="43"/>
      <c r="M31" s="43"/>
      <c r="N31" s="43"/>
      <c r="O31" s="43"/>
      <c r="S31" s="721" t="s">
        <v>427</v>
      </c>
      <c r="T31" s="721"/>
      <c r="U31" s="453"/>
      <c r="V31" s="741" t="str">
        <f>IF(TITLE_NUMBER_PR_CHANGE="",IF(TITLE_NUMBER_PR="","",TITLE_NUMBER_PR),TITLE_NUMBER_PR_CHANGE)</f>
        <v/>
      </c>
      <c r="W31" s="741"/>
      <c r="X31" s="741"/>
      <c r="Y31" s="741"/>
      <c r="Z31" s="741"/>
      <c r="AA31" s="741"/>
      <c r="AB31" s="741"/>
      <c r="AC31" s="4"/>
      <c r="AD31" s="741" t="str">
        <f>IF(TITLE_NUMBER_PR_CHANGE="",IF(TITLE_NUMBER_PR="","",TITLE_NUMBER_PR),TITLE_NUMBER_PR_CHANGE)</f>
        <v/>
      </c>
      <c r="AE31" s="741"/>
      <c r="AF31" s="741"/>
      <c r="AG31" s="741"/>
      <c r="AH31" s="741"/>
      <c r="AI31" s="741"/>
      <c r="AJ31" s="741"/>
      <c r="AK31" s="4"/>
      <c r="AL31" s="4"/>
      <c r="AM31" s="96"/>
      <c r="AN31" s="46"/>
      <c r="AO31" s="46"/>
      <c r="AP31" s="46"/>
      <c r="AQ31" s="46"/>
      <c r="AR31" s="46"/>
      <c r="AS31" s="22">
        <v>0</v>
      </c>
    </row>
    <row r="32" spans="1:45" s="22" customFormat="1" ht="18.75" hidden="1" customHeight="1">
      <c r="A32" s="43"/>
      <c r="B32" s="43"/>
      <c r="C32" s="43"/>
      <c r="D32" s="43"/>
      <c r="E32" s="43"/>
      <c r="F32" s="43"/>
      <c r="G32" s="43"/>
      <c r="H32" s="43"/>
      <c r="I32" s="43"/>
      <c r="J32" s="43"/>
      <c r="K32" s="43"/>
      <c r="L32" s="43"/>
      <c r="M32" s="43"/>
      <c r="N32" s="43"/>
      <c r="O32" s="43"/>
      <c r="S32" s="721" t="s">
        <v>43</v>
      </c>
      <c r="T32" s="721"/>
      <c r="U32" s="453"/>
      <c r="V32" s="741" t="str">
        <f>IF(TITLE_IST_PUB_CHANGE="",IF(TITLE_IST_PUB="","",TITLE_IST_PUB),TITLE_IST_PUB_CHANGE)</f>
        <v/>
      </c>
      <c r="W32" s="741"/>
      <c r="X32" s="741"/>
      <c r="Y32" s="741"/>
      <c r="Z32" s="741"/>
      <c r="AA32" s="741"/>
      <c r="AB32" s="741"/>
      <c r="AC32" s="4"/>
      <c r="AD32" s="741" t="str">
        <f>IF(TITLE_IST_PUB_CHANGE="",IF(TITLE_IST_PUB="","",TITLE_IST_PUB),TITLE_IST_PUB_CHANGE)</f>
        <v/>
      </c>
      <c r="AE32" s="741"/>
      <c r="AF32" s="741"/>
      <c r="AG32" s="741"/>
      <c r="AH32" s="741"/>
      <c r="AI32" s="741"/>
      <c r="AJ32" s="741"/>
      <c r="AK32" s="4"/>
      <c r="AL32" s="4"/>
      <c r="AM32" s="96"/>
      <c r="AN32" s="46"/>
      <c r="AO32" s="46"/>
      <c r="AP32" s="46"/>
      <c r="AQ32" s="46"/>
      <c r="AR32" s="46"/>
      <c r="AS32" s="22">
        <v>0</v>
      </c>
    </row>
    <row r="33" spans="1:45" ht="14.25" hidden="1" customHeight="1">
      <c r="Q33" s="19"/>
      <c r="R33" s="19"/>
      <c r="S33" s="6"/>
      <c r="T33" s="6"/>
      <c r="U33" s="6"/>
      <c r="V33" s="109"/>
      <c r="W33" s="109"/>
      <c r="X33" s="109"/>
      <c r="Y33" s="109"/>
      <c r="Z33" s="109"/>
      <c r="AA33" s="109"/>
      <c r="AB33" s="109"/>
      <c r="AC33" s="109"/>
      <c r="AD33" s="109"/>
      <c r="AE33" s="109"/>
      <c r="AF33" s="109"/>
      <c r="AG33" s="109"/>
      <c r="AH33" s="109"/>
      <c r="AI33" s="109"/>
      <c r="AJ33" s="109"/>
      <c r="AK33" s="109"/>
      <c r="AS33" s="4">
        <v>0</v>
      </c>
    </row>
    <row r="34" spans="1:45" s="22" customFormat="1" ht="18.75" hidden="1" customHeight="1">
      <c r="A34" s="43"/>
      <c r="B34" s="43"/>
      <c r="C34" s="43"/>
      <c r="D34" s="43"/>
      <c r="E34" s="43"/>
      <c r="F34" s="43"/>
      <c r="G34" s="43"/>
      <c r="H34" s="43"/>
      <c r="I34" s="43"/>
      <c r="J34" s="43"/>
      <c r="K34" s="43"/>
      <c r="L34" s="43"/>
      <c r="M34" s="43"/>
      <c r="N34" s="43"/>
      <c r="O34" s="43"/>
      <c r="S34" s="721" t="s">
        <v>428</v>
      </c>
      <c r="T34" s="721"/>
      <c r="U34" s="453"/>
      <c r="V34" s="740" t="str">
        <f>IF(TITLE_DATE_PR_CHANGE="",IF(TITLE_DATE_PR="","",TITLE_DATE_PR),TITLE_DATE_PR_CHANGE)</f>
        <v/>
      </c>
      <c r="W34" s="740"/>
      <c r="X34" s="740"/>
      <c r="Y34" s="740"/>
      <c r="Z34" s="740"/>
      <c r="AA34" s="740"/>
      <c r="AB34" s="740"/>
      <c r="AC34" s="4"/>
      <c r="AD34" s="740" t="str">
        <f>IF(TITLE_DATE_PR_CHANGE="",IF(TITLE_DATE_PR="","",TITLE_DATE_PR),TITLE_DATE_PR_CHANGE)</f>
        <v/>
      </c>
      <c r="AE34" s="740"/>
      <c r="AF34" s="740"/>
      <c r="AG34" s="740"/>
      <c r="AH34" s="740"/>
      <c r="AI34" s="740"/>
      <c r="AJ34" s="740"/>
      <c r="AK34" s="4"/>
      <c r="AL34" s="4"/>
      <c r="AM34" s="96"/>
      <c r="AN34" s="46"/>
      <c r="AO34" s="46"/>
      <c r="AP34" s="46"/>
      <c r="AQ34" s="46"/>
      <c r="AR34" s="46"/>
      <c r="AS34" s="22">
        <v>0</v>
      </c>
    </row>
    <row r="35" spans="1:45" s="22" customFormat="1" ht="18.75" hidden="1" customHeight="1">
      <c r="A35" s="43"/>
      <c r="B35" s="43"/>
      <c r="C35" s="43"/>
      <c r="D35" s="43"/>
      <c r="E35" s="43"/>
      <c r="F35" s="43"/>
      <c r="G35" s="43"/>
      <c r="H35" s="43"/>
      <c r="I35" s="43"/>
      <c r="J35" s="43"/>
      <c r="K35" s="43"/>
      <c r="L35" s="43"/>
      <c r="M35" s="43"/>
      <c r="N35" s="43"/>
      <c r="O35" s="43"/>
      <c r="S35" s="721" t="s">
        <v>429</v>
      </c>
      <c r="T35" s="721"/>
      <c r="U35" s="453"/>
      <c r="V35" s="741" t="str">
        <f>IF(TITLE_NUMBER_PR_CHANGE="",IF(TITLE_NUMBER_PR="","",TITLE_NUMBER_PR),TITLE_NUMBER_PR_CHANGE)</f>
        <v/>
      </c>
      <c r="W35" s="741"/>
      <c r="X35" s="741"/>
      <c r="Y35" s="741"/>
      <c r="Z35" s="741"/>
      <c r="AA35" s="741"/>
      <c r="AB35" s="741"/>
      <c r="AC35" s="4"/>
      <c r="AD35" s="741" t="str">
        <f>IF(TITLE_NUMBER_PR_CHANGE="",IF(TITLE_NUMBER_PR="","",TITLE_NUMBER_PR),TITLE_NUMBER_PR_CHANGE)</f>
        <v/>
      </c>
      <c r="AE35" s="741"/>
      <c r="AF35" s="741"/>
      <c r="AG35" s="741"/>
      <c r="AH35" s="741"/>
      <c r="AI35" s="741"/>
      <c r="AJ35" s="741"/>
      <c r="AK35" s="4"/>
      <c r="AL35" s="4"/>
      <c r="AM35" s="96"/>
      <c r="AN35" s="46"/>
      <c r="AO35" s="46"/>
      <c r="AP35" s="46"/>
      <c r="AQ35" s="46"/>
      <c r="AR35" s="46"/>
      <c r="AS35" s="22">
        <v>0</v>
      </c>
    </row>
    <row r="36" spans="1:45" s="22" customFormat="1" ht="0" hidden="1" customHeight="1">
      <c r="A36" s="43"/>
      <c r="B36" s="43"/>
      <c r="C36" s="43"/>
      <c r="D36" s="43"/>
      <c r="E36" s="43"/>
      <c r="F36" s="43"/>
      <c r="G36" s="43"/>
      <c r="H36" s="43"/>
      <c r="I36" s="43"/>
      <c r="J36" s="43"/>
      <c r="K36" s="43"/>
      <c r="L36" s="43"/>
      <c r="M36" s="43"/>
      <c r="N36" s="43"/>
      <c r="O36" s="43"/>
      <c r="S36" s="4"/>
      <c r="T36" s="4"/>
      <c r="U36" s="4"/>
      <c r="V36" s="4"/>
      <c r="W36" s="4"/>
      <c r="X36" s="4"/>
      <c r="Y36" s="4"/>
      <c r="Z36" s="4"/>
      <c r="AA36" s="4"/>
      <c r="AB36" s="4"/>
      <c r="AC36" s="46" t="s">
        <v>430</v>
      </c>
      <c r="AD36" s="4"/>
      <c r="AE36" s="4"/>
      <c r="AF36" s="4"/>
      <c r="AG36" s="4"/>
      <c r="AH36" s="4"/>
      <c r="AI36" s="4"/>
      <c r="AJ36" s="4"/>
      <c r="AK36" s="46" t="s">
        <v>430</v>
      </c>
      <c r="AN36" s="46"/>
      <c r="AO36" s="46"/>
      <c r="AP36" s="46"/>
      <c r="AQ36" s="46"/>
      <c r="AR36" s="46"/>
      <c r="AS36" s="22">
        <v>0</v>
      </c>
    </row>
    <row r="37" spans="1:45" ht="14.65" customHeight="1">
      <c r="Q37" s="19"/>
      <c r="R37" s="19"/>
      <c r="S37" s="6"/>
      <c r="T37" s="6"/>
      <c r="U37" s="420"/>
      <c r="V37" s="755"/>
      <c r="W37" s="755"/>
      <c r="X37" s="755"/>
      <c r="Y37" s="755"/>
      <c r="Z37" s="755"/>
      <c r="AA37" s="755"/>
      <c r="AB37" s="755"/>
      <c r="AC37" s="755"/>
      <c r="AD37" s="755"/>
      <c r="AE37" s="755"/>
      <c r="AF37" s="755"/>
      <c r="AG37" s="755"/>
      <c r="AH37" s="755"/>
      <c r="AI37" s="755"/>
      <c r="AJ37" s="755"/>
      <c r="AK37" s="755"/>
      <c r="AS37" s="4">
        <v>14</v>
      </c>
    </row>
    <row r="38" spans="1:45" ht="14.65" customHeight="1">
      <c r="Q38" s="19"/>
      <c r="R38" s="19"/>
      <c r="S38" s="679" t="s">
        <v>303</v>
      </c>
      <c r="T38" s="679"/>
      <c r="U38" s="679"/>
      <c r="V38" s="679"/>
      <c r="W38" s="679"/>
      <c r="X38" s="679"/>
      <c r="Y38" s="679"/>
      <c r="Z38" s="679"/>
      <c r="AA38" s="679"/>
      <c r="AB38" s="679"/>
      <c r="AC38" s="679"/>
      <c r="AD38" s="679"/>
      <c r="AE38" s="679"/>
      <c r="AF38" s="679"/>
      <c r="AG38" s="679"/>
      <c r="AH38" s="679"/>
      <c r="AI38" s="679"/>
      <c r="AJ38" s="679"/>
      <c r="AK38" s="679"/>
      <c r="AL38" s="679"/>
      <c r="AM38" s="679" t="s">
        <v>304</v>
      </c>
      <c r="AS38" s="4">
        <v>14</v>
      </c>
    </row>
    <row r="39" spans="1:45" ht="14.65" customHeight="1">
      <c r="Q39" s="19"/>
      <c r="R39" s="19"/>
      <c r="S39" s="722" t="s">
        <v>88</v>
      </c>
      <c r="T39" s="722" t="s">
        <v>431</v>
      </c>
      <c r="U39" s="100"/>
      <c r="V39" s="756" t="s">
        <v>432</v>
      </c>
      <c r="W39" s="757"/>
      <c r="X39" s="757"/>
      <c r="Y39" s="757"/>
      <c r="Z39" s="757"/>
      <c r="AA39" s="757"/>
      <c r="AB39" s="758"/>
      <c r="AC39" s="724" t="s">
        <v>433</v>
      </c>
      <c r="AD39" s="756" t="s">
        <v>432</v>
      </c>
      <c r="AE39" s="757"/>
      <c r="AF39" s="757"/>
      <c r="AG39" s="757"/>
      <c r="AH39" s="757"/>
      <c r="AI39" s="757"/>
      <c r="AJ39" s="758"/>
      <c r="AK39" s="724" t="s">
        <v>434</v>
      </c>
      <c r="AL39" s="759" t="s">
        <v>435</v>
      </c>
      <c r="AM39" s="679"/>
      <c r="AS39" s="4">
        <v>14</v>
      </c>
    </row>
    <row r="40" spans="1:45" ht="35.65" customHeight="1">
      <c r="Q40" s="19"/>
      <c r="R40" s="19"/>
      <c r="S40" s="722"/>
      <c r="T40" s="722"/>
      <c r="U40" s="349"/>
      <c r="V40" s="673" t="s">
        <v>436</v>
      </c>
      <c r="W40" s="752"/>
      <c r="X40" s="662" t="s">
        <v>438</v>
      </c>
      <c r="Y40" s="661"/>
      <c r="Z40" s="662" t="s">
        <v>439</v>
      </c>
      <c r="AA40" s="666"/>
      <c r="AB40" s="661"/>
      <c r="AC40" s="725"/>
      <c r="AD40" s="673" t="s">
        <v>453</v>
      </c>
      <c r="AE40" s="752"/>
      <c r="AF40" s="662" t="s">
        <v>438</v>
      </c>
      <c r="AG40" s="661"/>
      <c r="AH40" s="662" t="s">
        <v>439</v>
      </c>
      <c r="AI40" s="666"/>
      <c r="AJ40" s="661"/>
      <c r="AK40" s="725"/>
      <c r="AL40" s="760"/>
      <c r="AM40" s="679"/>
      <c r="AS40" s="4">
        <v>34</v>
      </c>
    </row>
    <row r="41" spans="1:45" ht="35.65" customHeight="1">
      <c r="B41" s="43" t="s">
        <v>140</v>
      </c>
      <c r="C41" s="43" t="s">
        <v>141</v>
      </c>
      <c r="D41" s="43" t="s">
        <v>142</v>
      </c>
      <c r="E41" s="43" t="s">
        <v>440</v>
      </c>
      <c r="F41" s="43" t="s">
        <v>441</v>
      </c>
      <c r="G41" s="43" t="s">
        <v>442</v>
      </c>
      <c r="H41" s="43" t="s">
        <v>443</v>
      </c>
      <c r="I41" s="43" t="s">
        <v>444</v>
      </c>
      <c r="J41" s="43" t="s">
        <v>445</v>
      </c>
      <c r="K41" s="43" t="s">
        <v>446</v>
      </c>
      <c r="L41" s="43" t="s">
        <v>421</v>
      </c>
      <c r="Q41" s="19"/>
      <c r="R41" s="19"/>
      <c r="S41" s="722"/>
      <c r="T41" s="722"/>
      <c r="U41" s="101"/>
      <c r="V41" s="676"/>
      <c r="W41" s="753"/>
      <c r="X41" s="27" t="s">
        <v>447</v>
      </c>
      <c r="Y41" s="27" t="s">
        <v>448</v>
      </c>
      <c r="Z41" s="27" t="s">
        <v>449</v>
      </c>
      <c r="AA41" s="728" t="s">
        <v>450</v>
      </c>
      <c r="AB41" s="734"/>
      <c r="AC41" s="726"/>
      <c r="AD41" s="676"/>
      <c r="AE41" s="753"/>
      <c r="AF41" s="27" t="s">
        <v>447</v>
      </c>
      <c r="AG41" s="27" t="s">
        <v>448</v>
      </c>
      <c r="AH41" s="27" t="s">
        <v>449</v>
      </c>
      <c r="AI41" s="728" t="s">
        <v>450</v>
      </c>
      <c r="AJ41" s="734"/>
      <c r="AK41" s="726"/>
      <c r="AL41" s="761"/>
      <c r="AM41" s="679"/>
      <c r="AS41" s="4">
        <v>34</v>
      </c>
    </row>
    <row r="42" spans="1:45" s="117" customFormat="1" ht="11.25" hidden="1" customHeight="1">
      <c r="A42" s="43"/>
      <c r="B42" s="43"/>
      <c r="C42" s="43"/>
      <c r="D42" s="43"/>
      <c r="E42" s="43"/>
      <c r="F42" s="43"/>
      <c r="G42" s="43"/>
      <c r="H42" s="43"/>
      <c r="I42" s="43"/>
      <c r="J42" s="43"/>
      <c r="K42" s="43"/>
      <c r="L42" s="43"/>
      <c r="M42" s="167"/>
      <c r="N42" s="167"/>
      <c r="O42" s="167"/>
      <c r="P42" s="178"/>
      <c r="Q42" s="422"/>
      <c r="R42" s="424">
        <v>1</v>
      </c>
      <c r="S42" s="425" t="s">
        <v>110</v>
      </c>
      <c r="T42" s="425" t="s">
        <v>111</v>
      </c>
      <c r="U42" s="421" t="str">
        <f ca="1">OFFSET(U42,0,-1)</f>
        <v>2</v>
      </c>
      <c r="V42" s="426">
        <f ca="1">OFFSET(V42,0,-1)+1</f>
        <v>3</v>
      </c>
      <c r="W42" s="426"/>
      <c r="X42" s="426">
        <f ca="1">OFFSET(X42,0,-1)+1</f>
        <v>1</v>
      </c>
      <c r="Y42" s="426">
        <f ca="1">OFFSET(Y42,0,-1)+1</f>
        <v>2</v>
      </c>
      <c r="Z42" s="426">
        <f ca="1">OFFSET(Z42,0,-1)+1</f>
        <v>3</v>
      </c>
      <c r="AA42" s="754">
        <f ca="1">OFFSET(AA42,0,-1)+1</f>
        <v>4</v>
      </c>
      <c r="AB42" s="754"/>
      <c r="AC42" s="426">
        <f ca="1">OFFSET(AC42,0,-2)+1</f>
        <v>5</v>
      </c>
      <c r="AD42" s="426">
        <f ca="1">OFFSET(AD42,0,-1)+1</f>
        <v>6</v>
      </c>
      <c r="AE42" s="426"/>
      <c r="AF42" s="426">
        <f ca="1">OFFSET(AF42,0,-1)+1</f>
        <v>1</v>
      </c>
      <c r="AG42" s="426">
        <f ca="1">OFFSET(AG42,0,-1)+1</f>
        <v>2</v>
      </c>
      <c r="AH42" s="426">
        <f ca="1">OFFSET(AH42,0,-1)+1</f>
        <v>3</v>
      </c>
      <c r="AI42" s="754">
        <f ca="1">OFFSET(AI42,0,-1)+1</f>
        <v>4</v>
      </c>
      <c r="AJ42" s="754"/>
      <c r="AK42" s="426">
        <f ca="1">OFFSET(AK42,0,-2)+1</f>
        <v>5</v>
      </c>
      <c r="AL42" s="421">
        <f ca="1">OFFSET(AL42,0,-1)</f>
        <v>5</v>
      </c>
      <c r="AM42" s="426">
        <f ca="1">OFFSET(AM42,0,-1)+1</f>
        <v>6</v>
      </c>
      <c r="AN42" s="46"/>
      <c r="AO42" s="46"/>
      <c r="AP42" s="46"/>
      <c r="AQ42" s="46"/>
      <c r="AR42" s="46"/>
      <c r="AS42" s="117">
        <v>0</v>
      </c>
    </row>
    <row r="43" spans="1:45" ht="21.95" customHeight="1">
      <c r="A43" s="43" t="s">
        <v>173</v>
      </c>
      <c r="E43" s="745">
        <v>1</v>
      </c>
      <c r="M43" s="43"/>
      <c r="N43" s="43"/>
      <c r="O43" s="43"/>
      <c r="Q43" s="4"/>
      <c r="R43" s="119"/>
      <c r="S43" s="24">
        <f>INDEX(PT_DIFFERENTIATION_NUM_NTAR,MATCH(A43,PT_DIFFERENTIATION_NTAR_ID,0))</f>
        <v>0</v>
      </c>
      <c r="T43" s="29" t="s">
        <v>128</v>
      </c>
      <c r="U43" s="29"/>
      <c r="V43" s="742"/>
      <c r="W43" s="743"/>
      <c r="X43" s="743"/>
      <c r="Y43" s="743"/>
      <c r="Z43" s="743"/>
      <c r="AA43" s="743"/>
      <c r="AB43" s="743"/>
      <c r="AC43" s="744"/>
      <c r="AD43" s="742" t="str">
        <f>INDEX(PT_DIFFERENTIATION_NTAR,MATCH(A43,PT_DIFFERENTIATION_NTAR_ID,0))</f>
        <v/>
      </c>
      <c r="AE43" s="743"/>
      <c r="AF43" s="743"/>
      <c r="AG43" s="743"/>
      <c r="AH43" s="743"/>
      <c r="AI43" s="743"/>
      <c r="AJ43" s="743"/>
      <c r="AK43" s="743"/>
      <c r="AL43" s="744"/>
      <c r="AM43" s="428"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P43" s="46" t="str">
        <f t="shared" ref="AP43:AP57" si="1">IF(T43="","",T43)</f>
        <v>Наименование тарифа</v>
      </c>
      <c r="AS43" s="4">
        <v>21</v>
      </c>
    </row>
    <row r="44" spans="1:45" ht="21.95" customHeight="1">
      <c r="A44" s="43" t="s">
        <v>173</v>
      </c>
      <c r="B44" s="43" t="s">
        <v>174</v>
      </c>
      <c r="E44" s="747"/>
      <c r="F44" s="745">
        <v>1</v>
      </c>
      <c r="M44" s="43"/>
      <c r="N44" s="43"/>
      <c r="O44" s="43"/>
      <c r="P44" s="4"/>
      <c r="Q44" s="118"/>
      <c r="R44" s="119"/>
      <c r="S44" s="24" t="str">
        <f>INDEX(PT_DIFFERENTIATION_NUM_TER,MATCH(B44,PT_DIFFERENTIATION_TER_ID,0))</f>
        <v>.</v>
      </c>
      <c r="T44" s="24" t="s">
        <v>400</v>
      </c>
      <c r="U44" s="29"/>
      <c r="V44" s="742"/>
      <c r="W44" s="743"/>
      <c r="X44" s="743"/>
      <c r="Y44" s="743"/>
      <c r="Z44" s="743"/>
      <c r="AA44" s="743"/>
      <c r="AB44" s="743"/>
      <c r="AC44" s="744"/>
      <c r="AD44" s="742" t="str">
        <f>INDEX(PT_DIFFERENTIATION_TER,MATCH(B44,PT_DIFFERENTIATION_TER_ID,0))</f>
        <v/>
      </c>
      <c r="AE44" s="743"/>
      <c r="AF44" s="743"/>
      <c r="AG44" s="743"/>
      <c r="AH44" s="743"/>
      <c r="AI44" s="743"/>
      <c r="AJ44" s="743"/>
      <c r="AK44" s="743"/>
      <c r="AL44" s="744"/>
      <c r="AM44" s="428" t="s">
        <v>401</v>
      </c>
      <c r="AP44" s="46" t="str">
        <f t="shared" si="1"/>
        <v>Территория действия тарифа</v>
      </c>
      <c r="AS44" s="4">
        <v>21</v>
      </c>
    </row>
    <row r="45" spans="1:45" ht="24" customHeight="1">
      <c r="A45" s="43" t="s">
        <v>173</v>
      </c>
      <c r="B45" s="43" t="s">
        <v>174</v>
      </c>
      <c r="C45" s="43" t="s">
        <v>175</v>
      </c>
      <c r="E45" s="747"/>
      <c r="F45" s="747"/>
      <c r="G45" s="745">
        <v>1</v>
      </c>
      <c r="M45" s="43"/>
      <c r="N45" s="43"/>
      <c r="O45" s="43"/>
      <c r="P45" s="16"/>
      <c r="Q45" s="118"/>
      <c r="R45" s="119"/>
      <c r="S45" s="24" t="str">
        <f>INDEX(PT_DIFFERENTIATION_NUM_CS,MATCH(C45,PT_DIFFERENTIATION_CS_ID,0))</f>
        <v>..</v>
      </c>
      <c r="T45" s="24" t="s">
        <v>402</v>
      </c>
      <c r="U45" s="29"/>
      <c r="V45" s="742"/>
      <c r="W45" s="743"/>
      <c r="X45" s="743"/>
      <c r="Y45" s="743"/>
      <c r="Z45" s="743"/>
      <c r="AA45" s="743"/>
      <c r="AB45" s="743"/>
      <c r="AC45" s="744"/>
      <c r="AD45" s="742" t="str">
        <f>INDEX(PT_DIFFERENTIATION_CS,MATCH(C45,PT_DIFFERENTIATION_CS_ID,0))</f>
        <v/>
      </c>
      <c r="AE45" s="743"/>
      <c r="AF45" s="743"/>
      <c r="AG45" s="743"/>
      <c r="AH45" s="743"/>
      <c r="AI45" s="743"/>
      <c r="AJ45" s="743"/>
      <c r="AK45" s="743"/>
      <c r="AL45" s="744"/>
      <c r="AM45" s="428" t="s">
        <v>403</v>
      </c>
      <c r="AP45" s="46" t="str">
        <f t="shared" si="1"/>
        <v xml:space="preserve">Наименование системы теплоснабжения </v>
      </c>
      <c r="AS45" s="4">
        <v>23</v>
      </c>
    </row>
    <row r="46" spans="1:45" ht="21.95" customHeight="1">
      <c r="A46" s="43" t="s">
        <v>173</v>
      </c>
      <c r="B46" s="43" t="s">
        <v>174</v>
      </c>
      <c r="C46" s="43" t="s">
        <v>175</v>
      </c>
      <c r="D46" s="43" t="s">
        <v>176</v>
      </c>
      <c r="E46" s="747"/>
      <c r="F46" s="747"/>
      <c r="G46" s="747"/>
      <c r="H46" s="745">
        <v>1</v>
      </c>
      <c r="M46" s="43"/>
      <c r="N46" s="43"/>
      <c r="O46" s="43"/>
      <c r="P46" s="16"/>
      <c r="Q46" s="118"/>
      <c r="R46" s="119"/>
      <c r="S46" s="24" t="str">
        <f>INDEX(PT_DIFFERENTIATION_NUM_IST_TE,MATCH(D46,PT_DIFFERENTIATION_IST_TE_ID,0))</f>
        <v>...</v>
      </c>
      <c r="T46" s="24" t="s">
        <v>404</v>
      </c>
      <c r="U46" s="29"/>
      <c r="V46" s="742"/>
      <c r="W46" s="743"/>
      <c r="X46" s="743"/>
      <c r="Y46" s="743"/>
      <c r="Z46" s="743"/>
      <c r="AA46" s="743"/>
      <c r="AB46" s="743"/>
      <c r="AC46" s="744"/>
      <c r="AD46" s="742" t="str">
        <f>INDEX(PT_DIFFERENTIATION_IST_TE,MATCH(D46,PT_DIFFERENTIATION_IST_TE_ID,0))</f>
        <v/>
      </c>
      <c r="AE46" s="743"/>
      <c r="AF46" s="743"/>
      <c r="AG46" s="743"/>
      <c r="AH46" s="743"/>
      <c r="AI46" s="743"/>
      <c r="AJ46" s="743"/>
      <c r="AK46" s="743"/>
      <c r="AL46" s="744"/>
      <c r="AM46" s="428" t="s">
        <v>405</v>
      </c>
      <c r="AP46" s="46" t="str">
        <f t="shared" si="1"/>
        <v xml:space="preserve">Источник тепловой энергии  </v>
      </c>
      <c r="AS46" s="4">
        <v>21</v>
      </c>
    </row>
    <row r="47" spans="1:45" s="46" customFormat="1" ht="0" hidden="1" customHeight="1">
      <c r="A47" s="46" t="s">
        <v>173</v>
      </c>
      <c r="B47" s="46" t="s">
        <v>174</v>
      </c>
      <c r="C47" s="46" t="s">
        <v>175</v>
      </c>
      <c r="D47" s="46" t="s">
        <v>176</v>
      </c>
      <c r="E47" s="747"/>
      <c r="F47" s="747"/>
      <c r="G47" s="747"/>
      <c r="H47" s="747"/>
      <c r="I47" s="745" t="str">
        <f>S46&amp;".1"</f>
        <v>....1</v>
      </c>
      <c r="L47" s="46" t="s">
        <v>406</v>
      </c>
      <c r="M47" s="160"/>
      <c r="N47" s="160"/>
      <c r="O47" s="160"/>
      <c r="P47" s="748">
        <v>1</v>
      </c>
      <c r="R47" s="120"/>
      <c r="S47" s="174"/>
      <c r="T47" s="174"/>
      <c r="U47" s="174"/>
      <c r="V47" s="768"/>
      <c r="W47" s="769"/>
      <c r="X47" s="769"/>
      <c r="Y47" s="769"/>
      <c r="Z47" s="769"/>
      <c r="AA47" s="769"/>
      <c r="AB47" s="769"/>
      <c r="AC47" s="770"/>
      <c r="AD47" s="768"/>
      <c r="AE47" s="769"/>
      <c r="AF47" s="769"/>
      <c r="AG47" s="769"/>
      <c r="AH47" s="769"/>
      <c r="AI47" s="769"/>
      <c r="AJ47" s="769"/>
      <c r="AK47" s="769"/>
      <c r="AL47" s="770"/>
      <c r="AM47" s="174"/>
      <c r="AP47" s="46" t="str">
        <f t="shared" si="1"/>
        <v/>
      </c>
      <c r="AS47" s="46">
        <v>0</v>
      </c>
    </row>
    <row r="48" spans="1:45" ht="21.95" customHeight="1">
      <c r="A48" s="43" t="s">
        <v>173</v>
      </c>
      <c r="B48" s="43" t="s">
        <v>174</v>
      </c>
      <c r="C48" s="43" t="s">
        <v>175</v>
      </c>
      <c r="D48" s="43" t="s">
        <v>176</v>
      </c>
      <c r="E48" s="747"/>
      <c r="F48" s="747"/>
      <c r="G48" s="747"/>
      <c r="H48" s="747"/>
      <c r="I48" s="747"/>
      <c r="J48" s="745" t="str">
        <f>S46&amp;".1"</f>
        <v>....1</v>
      </c>
      <c r="L48" s="43" t="s">
        <v>409</v>
      </c>
      <c r="P48" s="748"/>
      <c r="Q48" s="748">
        <v>1</v>
      </c>
      <c r="R48" s="120"/>
      <c r="S48" s="24" t="str">
        <f>$J48</f>
        <v>....1</v>
      </c>
      <c r="T48" s="24" t="s">
        <v>410</v>
      </c>
      <c r="U48" s="29"/>
      <c r="V48" s="737"/>
      <c r="W48" s="738"/>
      <c r="X48" s="738"/>
      <c r="Y48" s="738"/>
      <c r="Z48" s="738"/>
      <c r="AA48" s="738"/>
      <c r="AB48" s="738"/>
      <c r="AC48" s="739"/>
      <c r="AD48" s="737"/>
      <c r="AE48" s="738"/>
      <c r="AF48" s="738"/>
      <c r="AG48" s="738"/>
      <c r="AH48" s="738"/>
      <c r="AI48" s="738"/>
      <c r="AJ48" s="738"/>
      <c r="AK48" s="738"/>
      <c r="AL48" s="739"/>
      <c r="AM48" s="428" t="s">
        <v>411</v>
      </c>
      <c r="AP48" s="46" t="str">
        <f t="shared" si="1"/>
        <v>Группа потребителей</v>
      </c>
      <c r="AS48" s="4">
        <v>21</v>
      </c>
    </row>
    <row r="49" spans="1:45" ht="21.95" customHeight="1">
      <c r="A49" s="43" t="s">
        <v>173</v>
      </c>
      <c r="B49" s="43" t="s">
        <v>174</v>
      </c>
      <c r="C49" s="43" t="s">
        <v>175</v>
      </c>
      <c r="D49" s="43" t="s">
        <v>176</v>
      </c>
      <c r="E49" s="747"/>
      <c r="F49" s="747"/>
      <c r="G49" s="747"/>
      <c r="H49" s="747"/>
      <c r="I49" s="747"/>
      <c r="J49" s="747"/>
      <c r="K49" s="745" t="str">
        <f>J48&amp;".1"</f>
        <v>....1.1</v>
      </c>
      <c r="L49" s="43" t="s">
        <v>412</v>
      </c>
      <c r="P49" s="748"/>
      <c r="Q49" s="748"/>
      <c r="R49" s="120">
        <v>1</v>
      </c>
      <c r="S49" s="24" t="str">
        <f>$K49</f>
        <v>....1.1</v>
      </c>
      <c r="T49" s="356"/>
      <c r="U49" s="29"/>
      <c r="V49" s="168"/>
      <c r="W49" s="110"/>
      <c r="X49" s="168"/>
      <c r="Y49" s="427"/>
      <c r="Z49" s="749"/>
      <c r="AA49" s="688" t="s">
        <v>66</v>
      </c>
      <c r="AB49" s="749"/>
      <c r="AC49" s="688" t="s">
        <v>66</v>
      </c>
      <c r="AD49" s="168"/>
      <c r="AE49" s="110"/>
      <c r="AF49" s="168"/>
      <c r="AG49" s="427"/>
      <c r="AH49" s="749"/>
      <c r="AI49" s="688" t="s">
        <v>66</v>
      </c>
      <c r="AJ49" s="750"/>
      <c r="AK49" s="688" t="s">
        <v>66</v>
      </c>
      <c r="AL49" s="345"/>
      <c r="AM49" s="762" t="s">
        <v>454</v>
      </c>
      <c r="AN49" s="46" t="e">
        <f ca="1">STRCHECKDATE(V50:AL50)</f>
        <v>#NAME?</v>
      </c>
      <c r="AP49" s="46" t="str">
        <f t="shared" si="1"/>
        <v/>
      </c>
      <c r="AS49" s="4">
        <v>21</v>
      </c>
    </row>
    <row r="50" spans="1:45" ht="1.1499999999999999" customHeight="1">
      <c r="A50" s="43" t="s">
        <v>173</v>
      </c>
      <c r="B50" s="43" t="s">
        <v>174</v>
      </c>
      <c r="C50" s="43" t="s">
        <v>175</v>
      </c>
      <c r="D50" s="43" t="s">
        <v>176</v>
      </c>
      <c r="E50" s="747"/>
      <c r="F50" s="747"/>
      <c r="G50" s="747"/>
      <c r="H50" s="747"/>
      <c r="I50" s="747"/>
      <c r="J50" s="747"/>
      <c r="K50" s="745"/>
      <c r="P50" s="748"/>
      <c r="Q50" s="748"/>
      <c r="R50" s="120"/>
      <c r="S50" s="31"/>
      <c r="T50" s="29"/>
      <c r="U50" s="29"/>
      <c r="V50" s="110"/>
      <c r="W50" s="110"/>
      <c r="X50" s="110"/>
      <c r="Y50" s="111" t="str">
        <f>Z49&amp;"-"&amp;AB49</f>
        <v>-</v>
      </c>
      <c r="Z50" s="707"/>
      <c r="AA50" s="688"/>
      <c r="AB50" s="707"/>
      <c r="AC50" s="688"/>
      <c r="AD50" s="110"/>
      <c r="AE50" s="110"/>
      <c r="AF50" s="110"/>
      <c r="AG50" s="111" t="str">
        <f>AH49&amp;"-"&amp;AJ49</f>
        <v>-</v>
      </c>
      <c r="AH50" s="707"/>
      <c r="AI50" s="688"/>
      <c r="AJ50" s="751"/>
      <c r="AK50" s="688"/>
      <c r="AL50" s="450"/>
      <c r="AM50" s="763"/>
      <c r="AP50" s="46" t="str">
        <f t="shared" si="1"/>
        <v/>
      </c>
      <c r="AS50" s="4">
        <v>1</v>
      </c>
    </row>
    <row r="51" spans="1:45" ht="11.45" customHeight="1">
      <c r="A51" s="43" t="s">
        <v>173</v>
      </c>
      <c r="B51" s="43" t="s">
        <v>174</v>
      </c>
      <c r="C51" s="43" t="s">
        <v>175</v>
      </c>
      <c r="D51" s="43" t="s">
        <v>176</v>
      </c>
      <c r="E51" s="747"/>
      <c r="F51" s="747"/>
      <c r="G51" s="747"/>
      <c r="H51" s="747"/>
      <c r="I51" s="747"/>
      <c r="J51" s="745"/>
      <c r="P51" s="748"/>
      <c r="Q51" s="748"/>
      <c r="R51" s="120"/>
      <c r="S51" s="434"/>
      <c r="T51" s="37" t="s">
        <v>414</v>
      </c>
      <c r="U51" s="58"/>
      <c r="V51" s="58"/>
      <c r="W51" s="58"/>
      <c r="X51" s="58"/>
      <c r="Y51" s="58"/>
      <c r="Z51" s="58"/>
      <c r="AA51" s="58"/>
      <c r="AB51" s="58"/>
      <c r="AC51" s="58"/>
      <c r="AD51" s="58"/>
      <c r="AE51" s="58"/>
      <c r="AF51" s="58"/>
      <c r="AG51" s="58"/>
      <c r="AH51" s="58"/>
      <c r="AI51" s="58"/>
      <c r="AJ51" s="58"/>
      <c r="AK51" s="58"/>
      <c r="AL51" s="59"/>
      <c r="AM51" s="764"/>
      <c r="AP51" s="46" t="str">
        <f t="shared" si="1"/>
        <v>Добавить вид теплоносителя (параметры теплоносителя)</v>
      </c>
      <c r="AS51" s="4">
        <v>11</v>
      </c>
    </row>
    <row r="52" spans="1:45" ht="11.45" customHeight="1">
      <c r="A52" s="43" t="s">
        <v>173</v>
      </c>
      <c r="B52" s="43" t="s">
        <v>174</v>
      </c>
      <c r="C52" s="43" t="s">
        <v>175</v>
      </c>
      <c r="D52" s="43" t="s">
        <v>176</v>
      </c>
      <c r="E52" s="747"/>
      <c r="F52" s="747"/>
      <c r="G52" s="747"/>
      <c r="H52" s="747"/>
      <c r="I52" s="745"/>
      <c r="P52" s="748"/>
      <c r="Q52" s="46"/>
      <c r="R52" s="120"/>
      <c r="S52" s="434"/>
      <c r="T52" s="37" t="s">
        <v>415</v>
      </c>
      <c r="U52" s="58"/>
      <c r="V52" s="58"/>
      <c r="W52" s="58"/>
      <c r="X52" s="58"/>
      <c r="Y52" s="58"/>
      <c r="Z52" s="58"/>
      <c r="AA52" s="58"/>
      <c r="AB52" s="58"/>
      <c r="AC52" s="54"/>
      <c r="AD52" s="58"/>
      <c r="AE52" s="58"/>
      <c r="AF52" s="58"/>
      <c r="AG52" s="58"/>
      <c r="AH52" s="58"/>
      <c r="AI52" s="58"/>
      <c r="AJ52" s="58"/>
      <c r="AK52" s="54"/>
      <c r="AL52" s="58"/>
      <c r="AM52" s="102"/>
      <c r="AP52" s="46" t="str">
        <f t="shared" si="1"/>
        <v>Добавить группу потребителей</v>
      </c>
      <c r="AS52" s="4">
        <v>11</v>
      </c>
    </row>
    <row r="53" spans="1:45" ht="0" hidden="1" customHeight="1">
      <c r="A53" s="43" t="s">
        <v>173</v>
      </c>
      <c r="B53" s="43" t="s">
        <v>174</v>
      </c>
      <c r="C53" s="43" t="s">
        <v>175</v>
      </c>
      <c r="D53" s="43" t="s">
        <v>176</v>
      </c>
      <c r="E53" s="747"/>
      <c r="F53" s="747"/>
      <c r="G53" s="747"/>
      <c r="H53" s="745"/>
      <c r="M53" s="43"/>
      <c r="N53" s="43"/>
      <c r="O53" s="43"/>
      <c r="P53" s="4"/>
      <c r="R53" s="119"/>
      <c r="S53" s="455"/>
      <c r="T53" s="354"/>
      <c r="U53" s="354"/>
      <c r="V53" s="354"/>
      <c r="W53" s="354"/>
      <c r="X53" s="354"/>
      <c r="Y53" s="354"/>
      <c r="Z53" s="354"/>
      <c r="AA53" s="354"/>
      <c r="AB53" s="354"/>
      <c r="AC53" s="354"/>
      <c r="AD53" s="354"/>
      <c r="AE53" s="354"/>
      <c r="AF53" s="354"/>
      <c r="AG53" s="354"/>
      <c r="AH53" s="354"/>
      <c r="AI53" s="354"/>
      <c r="AJ53" s="354"/>
      <c r="AK53" s="354"/>
      <c r="AL53" s="354"/>
      <c r="AM53" s="314"/>
      <c r="AP53" s="46" t="str">
        <f t="shared" si="1"/>
        <v/>
      </c>
      <c r="AS53" s="4">
        <v>0</v>
      </c>
    </row>
    <row r="54" spans="1:45" s="46" customFormat="1" ht="1.1499999999999999" customHeight="1">
      <c r="A54" s="46" t="s">
        <v>173</v>
      </c>
      <c r="B54" s="46" t="s">
        <v>174</v>
      </c>
      <c r="C54" s="46" t="s">
        <v>175</v>
      </c>
      <c r="E54" s="747"/>
      <c r="F54" s="747"/>
      <c r="G54" s="745"/>
      <c r="Q54" s="446"/>
      <c r="S54" s="449"/>
      <c r="T54" s="160" t="s">
        <v>417</v>
      </c>
      <c r="U54" s="160"/>
      <c r="V54" s="160"/>
      <c r="W54" s="160"/>
      <c r="X54" s="160"/>
      <c r="Y54" s="160"/>
      <c r="Z54" s="160"/>
      <c r="AA54" s="160"/>
      <c r="AB54" s="160"/>
      <c r="AC54" s="160"/>
      <c r="AD54" s="160"/>
      <c r="AE54" s="160"/>
      <c r="AF54" s="160"/>
      <c r="AG54" s="160"/>
      <c r="AH54" s="160"/>
      <c r="AI54" s="160"/>
      <c r="AJ54" s="160"/>
      <c r="AK54" s="160"/>
      <c r="AL54" s="160"/>
      <c r="AM54" s="160"/>
      <c r="AP54" s="46" t="str">
        <f t="shared" si="1"/>
        <v>Добавить источник для дифференциации</v>
      </c>
      <c r="AS54" s="46">
        <v>1</v>
      </c>
    </row>
    <row r="55" spans="1:45" s="46" customFormat="1" ht="1.1499999999999999" customHeight="1">
      <c r="A55" s="46" t="s">
        <v>173</v>
      </c>
      <c r="B55" s="46" t="s">
        <v>174</v>
      </c>
      <c r="E55" s="747"/>
      <c r="F55" s="745"/>
      <c r="M55" s="160"/>
      <c r="N55" s="160"/>
      <c r="Q55" s="446"/>
      <c r="S55" s="449"/>
      <c r="T55" s="160" t="s">
        <v>418</v>
      </c>
      <c r="U55" s="160"/>
      <c r="V55" s="160"/>
      <c r="W55" s="160"/>
      <c r="X55" s="160"/>
      <c r="Y55" s="160"/>
      <c r="Z55" s="160"/>
      <c r="AA55" s="160"/>
      <c r="AB55" s="160"/>
      <c r="AC55" s="160"/>
      <c r="AD55" s="160"/>
      <c r="AE55" s="160"/>
      <c r="AF55" s="160"/>
      <c r="AG55" s="160"/>
      <c r="AH55" s="160"/>
      <c r="AI55" s="160"/>
      <c r="AJ55" s="160"/>
      <c r="AK55" s="160"/>
      <c r="AL55" s="160"/>
      <c r="AM55" s="160"/>
      <c r="AP55" s="46" t="str">
        <f t="shared" si="1"/>
        <v>Добавить централизованную систему для дифференциации</v>
      </c>
      <c r="AS55" s="46">
        <v>1</v>
      </c>
    </row>
    <row r="56" spans="1:45" s="46" customFormat="1" ht="1.1499999999999999" customHeight="1">
      <c r="A56" s="46" t="s">
        <v>173</v>
      </c>
      <c r="E56" s="745"/>
      <c r="M56" s="160"/>
      <c r="N56" s="160"/>
      <c r="Q56" s="446"/>
      <c r="S56" s="449"/>
      <c r="T56" s="160" t="s">
        <v>419</v>
      </c>
      <c r="U56" s="160"/>
      <c r="V56" s="160"/>
      <c r="W56" s="160"/>
      <c r="X56" s="160"/>
      <c r="Y56" s="160"/>
      <c r="Z56" s="160"/>
      <c r="AA56" s="160"/>
      <c r="AB56" s="160"/>
      <c r="AC56" s="160"/>
      <c r="AD56" s="160"/>
      <c r="AE56" s="160"/>
      <c r="AF56" s="160"/>
      <c r="AG56" s="160"/>
      <c r="AH56" s="160"/>
      <c r="AI56" s="160"/>
      <c r="AJ56" s="160"/>
      <c r="AK56" s="160"/>
      <c r="AL56" s="160"/>
      <c r="AM56" s="160"/>
      <c r="AP56" s="46" t="str">
        <f t="shared" si="1"/>
        <v>Добавить территорию для дифференциации</v>
      </c>
      <c r="AS56" s="46">
        <v>1</v>
      </c>
    </row>
    <row r="57" spans="1:45" s="46" customFormat="1" ht="1.1499999999999999" customHeight="1">
      <c r="M57" s="160"/>
      <c r="N57" s="160"/>
      <c r="Q57" s="446"/>
      <c r="S57" s="449"/>
      <c r="T57" s="160" t="s">
        <v>451</v>
      </c>
      <c r="U57" s="160"/>
      <c r="V57" s="160"/>
      <c r="W57" s="160"/>
      <c r="X57" s="160"/>
      <c r="Y57" s="160"/>
      <c r="Z57" s="160"/>
      <c r="AA57" s="160"/>
      <c r="AB57" s="160"/>
      <c r="AC57" s="160"/>
      <c r="AD57" s="160"/>
      <c r="AE57" s="160"/>
      <c r="AF57" s="160"/>
      <c r="AG57" s="160"/>
      <c r="AH57" s="160"/>
      <c r="AI57" s="160"/>
      <c r="AJ57" s="160"/>
      <c r="AK57" s="160"/>
      <c r="AL57" s="160"/>
      <c r="AM57" s="160"/>
      <c r="AP57" s="46" t="str">
        <f t="shared" si="1"/>
        <v>Добавить наименование тарифа</v>
      </c>
      <c r="AS57" s="46">
        <v>1</v>
      </c>
    </row>
    <row r="58" spans="1:45" ht="11.45" customHeight="1">
      <c r="M58" s="43"/>
      <c r="N58" s="43"/>
      <c r="O58" s="43"/>
      <c r="P58" s="4"/>
      <c r="Q58" s="4"/>
      <c r="R58" s="4"/>
      <c r="AN58" s="4"/>
      <c r="AO58" s="4"/>
      <c r="AP58" s="4"/>
      <c r="AQ58" s="4"/>
      <c r="AR58" s="4"/>
      <c r="AS58" s="4">
        <v>11</v>
      </c>
    </row>
    <row r="59" spans="1:45" ht="19.899999999999999" customHeight="1">
      <c r="O59" s="43"/>
      <c r="T59" s="665"/>
      <c r="U59" s="665"/>
      <c r="V59" s="665"/>
      <c r="W59" s="665"/>
      <c r="X59" s="665"/>
      <c r="Y59" s="665"/>
      <c r="Z59" s="665"/>
      <c r="AA59" s="665"/>
      <c r="AB59" s="665"/>
      <c r="AC59" s="665"/>
      <c r="AD59" s="665"/>
      <c r="AE59" s="665"/>
      <c r="AF59" s="665"/>
      <c r="AG59" s="665"/>
      <c r="AH59" s="665"/>
      <c r="AI59" s="665"/>
      <c r="AJ59" s="665"/>
      <c r="AK59" s="665"/>
      <c r="AL59" s="665"/>
      <c r="AM59" s="665"/>
      <c r="AS59" s="4">
        <v>19</v>
      </c>
    </row>
    <row r="60" spans="1:45" ht="29.25" customHeight="1">
      <c r="O60" s="43"/>
      <c r="T60" s="665"/>
      <c r="U60" s="665"/>
      <c r="V60" s="665"/>
      <c r="W60" s="665"/>
      <c r="X60" s="665"/>
      <c r="Y60" s="665"/>
      <c r="Z60" s="665"/>
      <c r="AA60" s="665"/>
      <c r="AB60" s="665"/>
      <c r="AC60" s="665"/>
      <c r="AD60" s="665"/>
      <c r="AE60" s="665"/>
      <c r="AF60" s="665"/>
      <c r="AG60" s="665"/>
      <c r="AH60" s="665"/>
      <c r="AI60" s="665"/>
      <c r="AJ60" s="665"/>
      <c r="AK60" s="665"/>
      <c r="AL60" s="665"/>
      <c r="AM60" s="665"/>
      <c r="AS60" s="4">
        <v>28</v>
      </c>
    </row>
    <row r="61" spans="1:45" ht="42" customHeight="1">
      <c r="O61" s="43"/>
      <c r="T61" s="665"/>
      <c r="U61" s="665"/>
      <c r="V61" s="665"/>
      <c r="W61" s="665"/>
      <c r="X61" s="665"/>
      <c r="Y61" s="665"/>
      <c r="Z61" s="665"/>
      <c r="AA61" s="665"/>
      <c r="AB61" s="665"/>
      <c r="AC61" s="665"/>
      <c r="AD61" s="665"/>
      <c r="AE61" s="665"/>
      <c r="AF61" s="665"/>
      <c r="AG61" s="665"/>
      <c r="AH61" s="665"/>
      <c r="AI61" s="665"/>
      <c r="AJ61" s="665"/>
      <c r="AK61" s="665"/>
      <c r="AL61" s="665"/>
      <c r="AM61" s="665"/>
      <c r="AS61" s="4">
        <v>40</v>
      </c>
    </row>
    <row r="62" spans="1:45" ht="14.65" customHeight="1">
      <c r="O62" s="43"/>
      <c r="AS62" s="4">
        <v>14</v>
      </c>
    </row>
    <row r="63" spans="1:45" ht="21" customHeight="1">
      <c r="O63" s="43"/>
      <c r="T63" s="682"/>
      <c r="U63" s="665"/>
      <c r="V63" s="665"/>
      <c r="W63" s="665"/>
      <c r="X63" s="665"/>
      <c r="Y63" s="665"/>
      <c r="Z63" s="665"/>
      <c r="AA63" s="665"/>
      <c r="AB63" s="665"/>
      <c r="AC63" s="665"/>
      <c r="AD63" s="665"/>
      <c r="AE63" s="665"/>
      <c r="AF63" s="665"/>
      <c r="AG63" s="665"/>
      <c r="AH63" s="665"/>
      <c r="AI63" s="665"/>
      <c r="AJ63" s="665"/>
      <c r="AK63" s="665"/>
      <c r="AL63" s="665"/>
      <c r="AM63" s="665"/>
      <c r="AS63" s="4">
        <v>20</v>
      </c>
    </row>
    <row r="64" spans="1:45" ht="29.25" customHeight="1">
      <c r="O64" s="43"/>
      <c r="T64" s="665"/>
      <c r="U64" s="665"/>
      <c r="V64" s="665"/>
      <c r="W64" s="665"/>
      <c r="X64" s="665"/>
      <c r="Y64" s="665"/>
      <c r="Z64" s="665"/>
      <c r="AA64" s="665"/>
      <c r="AB64" s="665"/>
      <c r="AC64" s="665"/>
      <c r="AD64" s="665"/>
      <c r="AE64" s="665"/>
      <c r="AF64" s="665"/>
      <c r="AG64" s="665"/>
      <c r="AH64" s="665"/>
      <c r="AI64" s="665"/>
      <c r="AJ64" s="665"/>
      <c r="AK64" s="665"/>
      <c r="AL64" s="665"/>
      <c r="AM64" s="665"/>
      <c r="AS64" s="4">
        <v>28</v>
      </c>
    </row>
    <row r="65" spans="1:45" ht="35.65" customHeight="1">
      <c r="T65" s="665"/>
      <c r="U65" s="665"/>
      <c r="V65" s="665"/>
      <c r="W65" s="665"/>
      <c r="X65" s="665"/>
      <c r="Y65" s="665"/>
      <c r="Z65" s="665"/>
      <c r="AA65" s="665"/>
      <c r="AB65" s="665"/>
      <c r="AC65" s="665"/>
      <c r="AD65" s="665"/>
      <c r="AE65" s="665"/>
      <c r="AF65" s="665"/>
      <c r="AG65" s="665"/>
      <c r="AH65" s="665"/>
      <c r="AI65" s="665"/>
      <c r="AJ65" s="665"/>
      <c r="AK65" s="665"/>
      <c r="AL65" s="665"/>
      <c r="AM65" s="665"/>
      <c r="AS65" s="4">
        <v>34</v>
      </c>
    </row>
    <row r="66" spans="1:45" ht="22.5" hidden="1" customHeight="1">
      <c r="A66" s="43" t="s">
        <v>82</v>
      </c>
      <c r="B66" s="43">
        <v>0</v>
      </c>
      <c r="C66" s="43">
        <v>0</v>
      </c>
      <c r="D66" s="43">
        <v>0</v>
      </c>
      <c r="E66" s="43">
        <v>0</v>
      </c>
      <c r="F66" s="43">
        <v>0</v>
      </c>
      <c r="G66" s="43">
        <v>0</v>
      </c>
      <c r="H66" s="43">
        <v>0</v>
      </c>
      <c r="I66" s="43">
        <v>0</v>
      </c>
      <c r="J66" s="43">
        <v>0</v>
      </c>
      <c r="K66" s="43">
        <v>0</v>
      </c>
      <c r="L66" s="43">
        <v>0</v>
      </c>
      <c r="M66" s="167">
        <v>0</v>
      </c>
      <c r="N66" s="167">
        <v>0</v>
      </c>
      <c r="O66" s="167">
        <v>0</v>
      </c>
      <c r="P66" s="23">
        <v>0</v>
      </c>
      <c r="Q66" s="20">
        <v>3</v>
      </c>
      <c r="R66" s="20">
        <v>3</v>
      </c>
      <c r="S66" s="4">
        <v>12</v>
      </c>
      <c r="T66" s="4">
        <v>31</v>
      </c>
      <c r="U66" s="4">
        <v>0</v>
      </c>
      <c r="V66" s="4">
        <v>0</v>
      </c>
      <c r="W66" s="4">
        <v>0</v>
      </c>
      <c r="X66" s="4">
        <v>0</v>
      </c>
      <c r="Y66" s="4">
        <v>0</v>
      </c>
      <c r="Z66" s="4">
        <v>0</v>
      </c>
      <c r="AA66" s="4">
        <v>0</v>
      </c>
      <c r="AB66" s="4">
        <v>0</v>
      </c>
      <c r="AC66" s="4">
        <v>0</v>
      </c>
      <c r="AD66" s="4">
        <v>24</v>
      </c>
      <c r="AE66" s="4">
        <v>0</v>
      </c>
      <c r="AF66" s="4">
        <v>24</v>
      </c>
      <c r="AG66" s="4">
        <v>24</v>
      </c>
      <c r="AH66" s="4">
        <v>11</v>
      </c>
      <c r="AI66" s="4">
        <v>3</v>
      </c>
      <c r="AJ66" s="4">
        <v>11</v>
      </c>
      <c r="AK66" s="4">
        <v>0</v>
      </c>
      <c r="AL66" s="4">
        <v>4</v>
      </c>
      <c r="AM66" s="4">
        <v>115</v>
      </c>
      <c r="AN66" s="46">
        <v>10</v>
      </c>
      <c r="AO66" s="46">
        <v>10</v>
      </c>
      <c r="AP66" s="46">
        <v>10</v>
      </c>
      <c r="AQ66" s="46">
        <v>10</v>
      </c>
      <c r="AR66" s="46">
        <v>10</v>
      </c>
      <c r="AS66" s="4">
        <v>23</v>
      </c>
    </row>
  </sheetData>
  <sheetProtection formatColumns="0" formatRows="0" insertRows="0" deleteColumns="0" deleteRows="0" sort="0" autoFilter="0"/>
  <mergeCells count="113">
    <mergeCell ref="V47:AC47"/>
    <mergeCell ref="AD47:AL47"/>
    <mergeCell ref="AD31:AJ31"/>
    <mergeCell ref="AD32:AJ32"/>
    <mergeCell ref="AE40:AE41"/>
    <mergeCell ref="AF40:AG40"/>
    <mergeCell ref="AH40:AJ40"/>
    <mergeCell ref="AI41:AJ41"/>
    <mergeCell ref="AD37:AK37"/>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xr:uid="{00000000-0002-0000-0F00-00000000000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xr:uid="{00000000-0002-0000-0F00-00000100000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xr:uid="{00000000-0002-0000-0F00-000002000000}"/>
    <dataValidation type="list" allowBlank="1" showInputMessage="1" showErrorMessage="1" errorTitle="Ошибка" error="Выберите значение из списка" sqref="T65585 T131121 T196657 T262193 T327729 T393265 T458801 T524337 T589873 T655409 T720945 T786481 T852017 T917553 T983089" xr:uid="{00000000-0002-0000-0F00-000003000000}">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xr:uid="{00000000-0002-0000-0F00-00000400000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xr:uid="{00000000-0002-0000-0F00-000005000000}">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xr:uid="{00000000-0002-0000-0F00-000006000000}">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xr:uid="{00000000-0002-0000-0F00-00000700000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F5E9C5-D886-E7E5-3AD3-35ECB42DA4A7}">
  <sheetPr>
    <tabColor theme="6" tint="0.39997558519241921"/>
  </sheetPr>
  <dimension ref="A1:AS66"/>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43" hidden="1"/>
    <col min="2" max="2" width="11" style="43" hidden="1" customWidth="1"/>
    <col min="3" max="3" width="10.5703125" style="43" hidden="1"/>
    <col min="4" max="4" width="11.85546875" style="43" hidden="1" customWidth="1"/>
    <col min="5" max="5" width="10" style="43" hidden="1" customWidth="1"/>
    <col min="6" max="6" width="8.7109375" style="43" hidden="1" customWidth="1"/>
    <col min="7" max="7" width="7.5703125" style="43" hidden="1" customWidth="1"/>
    <col min="8" max="8" width="11.42578125" style="43" hidden="1" customWidth="1"/>
    <col min="9" max="9" width="12" style="43" hidden="1" customWidth="1"/>
    <col min="10" max="10" width="9.85546875" style="43" hidden="1" customWidth="1"/>
    <col min="11" max="11" width="11.42578125" style="43" hidden="1" customWidth="1"/>
    <col min="12" max="12" width="19.140625" style="43" hidden="1" customWidth="1"/>
    <col min="13" max="14" width="12.28515625" style="167" hidden="1" customWidth="1"/>
    <col min="15" max="15" width="23.42578125" style="167" hidden="1" customWidth="1"/>
    <col min="16" max="16" width="3.7109375" style="23" hidden="1" customWidth="1"/>
    <col min="17" max="18" width="3" style="20" customWidth="1"/>
    <col min="19" max="19" width="12" style="4" customWidth="1"/>
    <col min="20" max="20" width="31" style="4" customWidth="1"/>
    <col min="21" max="21" width="0.140625" style="4" customWidth="1"/>
    <col min="22" max="22" width="24.7109375" style="4" hidden="1" customWidth="1"/>
    <col min="23" max="23" width="0.140625" style="4" hidden="1" customWidth="1"/>
    <col min="24" max="25" width="24.7109375" style="4" hidden="1" customWidth="1"/>
    <col min="26" max="26" width="11.7109375" style="4" hidden="1" customWidth="1"/>
    <col min="27" max="27" width="3.7109375" style="4" hidden="1" customWidth="1"/>
    <col min="28" max="28" width="11.7109375" style="4" hidden="1" customWidth="1"/>
    <col min="29" max="29" width="8.5703125" style="4" hidden="1" customWidth="1"/>
    <col min="30" max="30" width="24.7109375" style="4" customWidth="1"/>
    <col min="31" max="31" width="0.140625" style="4" customWidth="1"/>
    <col min="32" max="33" width="24" style="4" customWidth="1"/>
    <col min="34" max="34" width="11" style="4" customWidth="1"/>
    <col min="35" max="35" width="3.7109375" style="4" customWidth="1"/>
    <col min="36" max="36" width="11" style="4" customWidth="1"/>
    <col min="37" max="37" width="8.5703125" style="4" hidden="1" customWidth="1"/>
    <col min="38" max="38" width="4" style="4" customWidth="1"/>
    <col min="39" max="39" width="115" style="4" customWidth="1"/>
    <col min="40" max="44" width="10" style="46" customWidth="1"/>
    <col min="45" max="45" width="10.5703125" style="4" hidden="1"/>
  </cols>
  <sheetData>
    <row r="1" spans="5:45" ht="22.5" hidden="1" customHeight="1">
      <c r="AS1" s="4" t="s">
        <v>14</v>
      </c>
    </row>
    <row r="2" spans="5:45" ht="21" hidden="1" customHeight="1">
      <c r="E2" s="745">
        <v>1</v>
      </c>
      <c r="M2" s="43"/>
      <c r="N2" s="43"/>
      <c r="O2" s="43"/>
      <c r="Q2" s="4"/>
      <c r="R2" s="119"/>
      <c r="S2" s="24" t="e">
        <f>INDEX(PT_DIFFERENTIATION_NUM_NTAR,MATCH(A2,PT_DIFFERENTIATION_NTAR_ID,0))</f>
        <v>#N/A</v>
      </c>
      <c r="T2" s="29" t="s">
        <v>128</v>
      </c>
      <c r="U2" s="29"/>
      <c r="V2" s="742"/>
      <c r="W2" s="743"/>
      <c r="X2" s="743"/>
      <c r="Y2" s="743"/>
      <c r="Z2" s="743"/>
      <c r="AA2" s="743"/>
      <c r="AB2" s="743"/>
      <c r="AC2" s="744"/>
      <c r="AD2" s="742" t="e">
        <f>INDEX(PT_DIFFERENTIATION_NTAR,MATCH(A2,PT_DIFFERENTIATION_NTAR_ID,0))</f>
        <v>#N/A</v>
      </c>
      <c r="AE2" s="743"/>
      <c r="AF2" s="743"/>
      <c r="AG2" s="743"/>
      <c r="AH2" s="743"/>
      <c r="AI2" s="743"/>
      <c r="AJ2" s="743"/>
      <c r="AK2" s="743"/>
      <c r="AL2" s="744"/>
      <c r="AM2" s="428" t="s">
        <v>399</v>
      </c>
      <c r="AP2" s="46" t="str">
        <f t="shared" ref="AP2:AP15" si="0">IF(T2="","",T2)</f>
        <v>Наименование тарифа</v>
      </c>
      <c r="AS2" s="4">
        <v>0</v>
      </c>
    </row>
    <row r="3" spans="5:45" ht="21" hidden="1" customHeight="1">
      <c r="E3" s="747"/>
      <c r="F3" s="745">
        <v>1</v>
      </c>
      <c r="M3" s="43"/>
      <c r="N3" s="43"/>
      <c r="O3" s="43"/>
      <c r="P3" s="4"/>
      <c r="Q3" s="118"/>
      <c r="R3" s="119"/>
      <c r="S3" s="24" t="e">
        <f>INDEX(PT_DIFFERENTIATION_NUM_TER,MATCH(B3,PT_DIFFERENTIATION_TER_ID,0))</f>
        <v>#N/A</v>
      </c>
      <c r="T3" s="24" t="s">
        <v>400</v>
      </c>
      <c r="U3" s="29"/>
      <c r="V3" s="742"/>
      <c r="W3" s="743"/>
      <c r="X3" s="743"/>
      <c r="Y3" s="743"/>
      <c r="Z3" s="743"/>
      <c r="AA3" s="743"/>
      <c r="AB3" s="743"/>
      <c r="AC3" s="744"/>
      <c r="AD3" s="742" t="e">
        <f>INDEX(PT_DIFFERENTIATION_TER,MATCH(B3,PT_DIFFERENTIATION_TER_ID,0))</f>
        <v>#N/A</v>
      </c>
      <c r="AE3" s="743"/>
      <c r="AF3" s="743"/>
      <c r="AG3" s="743"/>
      <c r="AH3" s="743"/>
      <c r="AI3" s="743"/>
      <c r="AJ3" s="743"/>
      <c r="AK3" s="743"/>
      <c r="AL3" s="744"/>
      <c r="AM3" s="428" t="s">
        <v>401</v>
      </c>
      <c r="AP3" s="46" t="str">
        <f t="shared" si="0"/>
        <v>Территория действия тарифа</v>
      </c>
      <c r="AS3" s="4">
        <v>0</v>
      </c>
    </row>
    <row r="4" spans="5:45" ht="23.25" hidden="1" customHeight="1">
      <c r="E4" s="747"/>
      <c r="F4" s="747"/>
      <c r="G4" s="745">
        <v>1</v>
      </c>
      <c r="M4" s="43"/>
      <c r="N4" s="43"/>
      <c r="O4" s="43"/>
      <c r="P4" s="16"/>
      <c r="Q4" s="118"/>
      <c r="R4" s="119"/>
      <c r="S4" s="45" t="e">
        <f>INDEX(PT_DIFFERENTIATION_NUM_CS,MATCH(C4,PT_DIFFERENTIATION_CS_ID,0))</f>
        <v>#N/A</v>
      </c>
      <c r="T4" s="45" t="s">
        <v>402</v>
      </c>
      <c r="U4" s="100"/>
      <c r="V4" s="772"/>
      <c r="W4" s="773"/>
      <c r="X4" s="773"/>
      <c r="Y4" s="773"/>
      <c r="Z4" s="773"/>
      <c r="AA4" s="773"/>
      <c r="AB4" s="773"/>
      <c r="AC4" s="774"/>
      <c r="AD4" s="772" t="e">
        <f>INDEX(PT_DIFFERENTIATION_CS,MATCH(C4,PT_DIFFERENTIATION_CS_ID,0))</f>
        <v>#N/A</v>
      </c>
      <c r="AE4" s="773"/>
      <c r="AF4" s="773"/>
      <c r="AG4" s="773"/>
      <c r="AH4" s="773"/>
      <c r="AI4" s="773"/>
      <c r="AJ4" s="773"/>
      <c r="AK4" s="773"/>
      <c r="AL4" s="774"/>
      <c r="AM4" s="428" t="s">
        <v>403</v>
      </c>
      <c r="AP4" s="46" t="str">
        <f t="shared" si="0"/>
        <v xml:space="preserve">Наименование системы теплоснабжения </v>
      </c>
      <c r="AS4" s="4">
        <v>0</v>
      </c>
    </row>
    <row r="5" spans="5:45" ht="21" hidden="1" customHeight="1">
      <c r="E5" s="747"/>
      <c r="F5" s="747"/>
      <c r="G5" s="747"/>
      <c r="H5" s="745">
        <v>1</v>
      </c>
      <c r="M5" s="43"/>
      <c r="N5" s="43"/>
      <c r="O5" s="43"/>
      <c r="P5" s="16"/>
      <c r="Q5" s="118"/>
      <c r="R5" s="4"/>
      <c r="S5" s="24" t="e">
        <f>INDEX(PT_DIFFERENTIATION_NUM_IST_TE,MATCH(D5,PT_DIFFERENTIATION_IST_TE_ID,0))</f>
        <v>#N/A</v>
      </c>
      <c r="T5" s="24" t="s">
        <v>404</v>
      </c>
      <c r="U5" s="29"/>
      <c r="V5" s="741"/>
      <c r="W5" s="741"/>
      <c r="X5" s="741"/>
      <c r="Y5" s="741"/>
      <c r="Z5" s="741"/>
      <c r="AA5" s="741"/>
      <c r="AB5" s="741"/>
      <c r="AC5" s="741"/>
      <c r="AD5" s="741" t="e">
        <f>INDEX(PT_DIFFERENTIATION_IST_TE,MATCH(D5,PT_DIFFERENTIATION_IST_TE_ID,0))</f>
        <v>#N/A</v>
      </c>
      <c r="AE5" s="741"/>
      <c r="AF5" s="741"/>
      <c r="AG5" s="741"/>
      <c r="AH5" s="741"/>
      <c r="AI5" s="741"/>
      <c r="AJ5" s="741"/>
      <c r="AK5" s="741"/>
      <c r="AL5" s="741"/>
      <c r="AM5" s="572" t="s">
        <v>405</v>
      </c>
      <c r="AP5" s="46" t="str">
        <f t="shared" si="0"/>
        <v xml:space="preserve">Источник тепловой энергии  </v>
      </c>
      <c r="AS5" s="4">
        <v>0</v>
      </c>
    </row>
    <row r="6" spans="5:45" ht="0.75" hidden="1" customHeight="1">
      <c r="E6" s="747"/>
      <c r="F6" s="747"/>
      <c r="G6" s="747"/>
      <c r="H6" s="747"/>
      <c r="I6" s="745" t="e">
        <f>S5&amp;".1"</f>
        <v>#N/A</v>
      </c>
      <c r="L6" s="43" t="s">
        <v>406</v>
      </c>
      <c r="M6" s="43"/>
      <c r="P6" s="748">
        <v>1</v>
      </c>
      <c r="Q6" s="46"/>
      <c r="R6" s="46"/>
      <c r="S6" s="174"/>
      <c r="T6" s="174"/>
      <c r="U6" s="174"/>
      <c r="V6" s="775"/>
      <c r="W6" s="775"/>
      <c r="X6" s="775"/>
      <c r="Y6" s="775"/>
      <c r="Z6" s="775"/>
      <c r="AA6" s="775"/>
      <c r="AB6" s="775"/>
      <c r="AC6" s="775"/>
      <c r="AD6" s="775"/>
      <c r="AE6" s="775"/>
      <c r="AF6" s="775"/>
      <c r="AG6" s="775"/>
      <c r="AH6" s="775"/>
      <c r="AI6" s="775"/>
      <c r="AJ6" s="775"/>
      <c r="AK6" s="775"/>
      <c r="AL6" s="775"/>
      <c r="AM6" s="617"/>
      <c r="AP6" s="46" t="str">
        <f t="shared" si="0"/>
        <v/>
      </c>
      <c r="AS6" s="4">
        <v>0</v>
      </c>
    </row>
    <row r="7" spans="5:45" ht="84" hidden="1" customHeight="1">
      <c r="E7" s="747"/>
      <c r="F7" s="747"/>
      <c r="G7" s="747"/>
      <c r="H7" s="747"/>
      <c r="I7" s="747"/>
      <c r="J7" s="745" t="e">
        <f>I6&amp;".1"</f>
        <v>#N/A</v>
      </c>
      <c r="L7" s="43" t="s">
        <v>409</v>
      </c>
      <c r="M7" s="43"/>
      <c r="N7" s="43"/>
      <c r="P7" s="748"/>
      <c r="Q7" s="748">
        <v>1</v>
      </c>
      <c r="R7" s="46"/>
      <c r="S7" s="24" t="e">
        <f>$J7</f>
        <v>#N/A</v>
      </c>
      <c r="T7" s="24" t="s">
        <v>410</v>
      </c>
      <c r="U7" s="29"/>
      <c r="V7" s="688"/>
      <c r="W7" s="688"/>
      <c r="X7" s="688"/>
      <c r="Y7" s="688"/>
      <c r="Z7" s="688"/>
      <c r="AA7" s="688"/>
      <c r="AB7" s="688"/>
      <c r="AC7" s="688"/>
      <c r="AD7" s="688"/>
      <c r="AE7" s="688"/>
      <c r="AF7" s="688"/>
      <c r="AG7" s="688"/>
      <c r="AH7" s="688"/>
      <c r="AI7" s="688"/>
      <c r="AJ7" s="688"/>
      <c r="AK7" s="688"/>
      <c r="AL7" s="688"/>
      <c r="AM7" s="572" t="s">
        <v>411</v>
      </c>
      <c r="AP7" s="46" t="str">
        <f t="shared" si="0"/>
        <v>Группа потребителей</v>
      </c>
      <c r="AS7" s="4">
        <v>0</v>
      </c>
    </row>
    <row r="8" spans="5:45" ht="11.25" hidden="1" customHeight="1">
      <c r="E8" s="747"/>
      <c r="F8" s="747"/>
      <c r="G8" s="747"/>
      <c r="H8" s="747"/>
      <c r="I8" s="747"/>
      <c r="J8" s="747"/>
      <c r="K8" s="745" t="e">
        <f>J7&amp;".1"</f>
        <v>#N/A</v>
      </c>
      <c r="L8" s="43" t="s">
        <v>412</v>
      </c>
      <c r="M8" s="43"/>
      <c r="N8" s="43"/>
      <c r="O8" s="43"/>
      <c r="P8" s="748"/>
      <c r="Q8" s="748"/>
      <c r="R8" s="120">
        <v>1</v>
      </c>
      <c r="S8" s="588" t="e">
        <f>$K8</f>
        <v>#N/A</v>
      </c>
      <c r="T8" s="618"/>
      <c r="U8" s="101"/>
      <c r="V8" s="619"/>
      <c r="W8" s="450"/>
      <c r="X8" s="619"/>
      <c r="Y8" s="620"/>
      <c r="Z8" s="771"/>
      <c r="AA8" s="687" t="s">
        <v>66</v>
      </c>
      <c r="AB8" s="771"/>
      <c r="AC8" s="687" t="s">
        <v>66</v>
      </c>
      <c r="AD8" s="619"/>
      <c r="AE8" s="450"/>
      <c r="AF8" s="619"/>
      <c r="AG8" s="620"/>
      <c r="AH8" s="771"/>
      <c r="AI8" s="687" t="s">
        <v>66</v>
      </c>
      <c r="AJ8" s="771"/>
      <c r="AK8" s="687" t="s">
        <v>66</v>
      </c>
      <c r="AL8" s="450"/>
      <c r="AM8" s="762" t="s">
        <v>413</v>
      </c>
      <c r="AN8" s="46" t="e">
        <f ca="1">STRCHECKDATE(V9:AL9)</f>
        <v>#NAME?</v>
      </c>
      <c r="AP8" s="46" t="str">
        <f t="shared" si="0"/>
        <v/>
      </c>
      <c r="AS8" s="4">
        <v>0</v>
      </c>
    </row>
    <row r="9" spans="5:45" ht="0.75" hidden="1" customHeight="1">
      <c r="E9" s="747"/>
      <c r="F9" s="747"/>
      <c r="G9" s="747"/>
      <c r="H9" s="747"/>
      <c r="I9" s="747"/>
      <c r="J9" s="747"/>
      <c r="K9" s="745"/>
      <c r="M9" s="43"/>
      <c r="N9" s="43"/>
      <c r="O9" s="43"/>
      <c r="P9" s="748"/>
      <c r="Q9" s="748"/>
      <c r="R9" s="120"/>
      <c r="S9" s="31"/>
      <c r="T9" s="29"/>
      <c r="U9" s="29"/>
      <c r="V9" s="110"/>
      <c r="W9" s="110"/>
      <c r="X9" s="110"/>
      <c r="Y9" s="111" t="str">
        <f>Z8&amp;"-"&amp;AB8</f>
        <v>-</v>
      </c>
      <c r="Z9" s="707"/>
      <c r="AA9" s="688"/>
      <c r="AB9" s="707"/>
      <c r="AC9" s="688"/>
      <c r="AD9" s="110"/>
      <c r="AE9" s="110"/>
      <c r="AF9" s="110"/>
      <c r="AG9" s="111" t="str">
        <f>AH8&amp;"-"&amp;AJ8</f>
        <v>-</v>
      </c>
      <c r="AH9" s="707"/>
      <c r="AI9" s="688"/>
      <c r="AJ9" s="707"/>
      <c r="AK9" s="688"/>
      <c r="AL9" s="110"/>
      <c r="AM9" s="763"/>
      <c r="AP9" s="46" t="str">
        <f t="shared" si="0"/>
        <v/>
      </c>
      <c r="AS9" s="4">
        <v>0</v>
      </c>
    </row>
    <row r="10" spans="5:45" ht="11.25" hidden="1" customHeight="1">
      <c r="E10" s="747"/>
      <c r="F10" s="747"/>
      <c r="G10" s="747"/>
      <c r="H10" s="747"/>
      <c r="I10" s="747"/>
      <c r="J10" s="745"/>
      <c r="M10" s="43"/>
      <c r="N10" s="43"/>
      <c r="P10" s="748"/>
      <c r="Q10" s="748"/>
      <c r="R10" s="120"/>
      <c r="S10" s="434"/>
      <c r="T10" s="37" t="s">
        <v>414</v>
      </c>
      <c r="U10" s="58"/>
      <c r="V10" s="58"/>
      <c r="W10" s="58"/>
      <c r="X10" s="58"/>
      <c r="Y10" s="58"/>
      <c r="Z10" s="58"/>
      <c r="AA10" s="58"/>
      <c r="AB10" s="58"/>
      <c r="AC10" s="58"/>
      <c r="AD10" s="58"/>
      <c r="AE10" s="58"/>
      <c r="AF10" s="58"/>
      <c r="AG10" s="58"/>
      <c r="AH10" s="58"/>
      <c r="AI10" s="58"/>
      <c r="AJ10" s="58"/>
      <c r="AK10" s="58"/>
      <c r="AL10" s="59"/>
      <c r="AM10" s="764"/>
      <c r="AP10" s="46" t="str">
        <f t="shared" si="0"/>
        <v>Добавить вид теплоносителя (параметры теплоносителя)</v>
      </c>
      <c r="AS10" s="4">
        <v>0</v>
      </c>
    </row>
    <row r="11" spans="5:45" ht="11.25" hidden="1" customHeight="1">
      <c r="E11" s="747"/>
      <c r="F11" s="747"/>
      <c r="G11" s="747"/>
      <c r="H11" s="747"/>
      <c r="I11" s="745"/>
      <c r="M11" s="43"/>
      <c r="P11" s="748"/>
      <c r="Q11" s="46"/>
      <c r="R11" s="120"/>
      <c r="S11" s="434"/>
      <c r="T11" s="37" t="s">
        <v>415</v>
      </c>
      <c r="U11" s="58"/>
      <c r="V11" s="58"/>
      <c r="W11" s="58"/>
      <c r="X11" s="58"/>
      <c r="Y11" s="58"/>
      <c r="Z11" s="58"/>
      <c r="AA11" s="58"/>
      <c r="AB11" s="58"/>
      <c r="AC11" s="54"/>
      <c r="AD11" s="58"/>
      <c r="AE11" s="58"/>
      <c r="AF11" s="58"/>
      <c r="AG11" s="58"/>
      <c r="AH11" s="58"/>
      <c r="AI11" s="58"/>
      <c r="AJ11" s="58"/>
      <c r="AK11" s="54"/>
      <c r="AL11" s="58"/>
      <c r="AM11" s="102"/>
      <c r="AP11" s="46" t="str">
        <f t="shared" si="0"/>
        <v>Добавить группу потребителей</v>
      </c>
      <c r="AS11" s="4">
        <v>0</v>
      </c>
    </row>
    <row r="12" spans="5:45" ht="0.75" hidden="1" customHeight="1">
      <c r="E12" s="747"/>
      <c r="F12" s="747"/>
      <c r="G12" s="747"/>
      <c r="H12" s="745"/>
      <c r="M12" s="43"/>
      <c r="N12" s="43"/>
      <c r="O12" s="43"/>
      <c r="P12" s="4"/>
      <c r="R12" s="119"/>
      <c r="S12" s="455"/>
      <c r="T12" s="354"/>
      <c r="U12" s="354"/>
      <c r="V12" s="354"/>
      <c r="W12" s="354"/>
      <c r="X12" s="354"/>
      <c r="Y12" s="354"/>
      <c r="Z12" s="354"/>
      <c r="AA12" s="354"/>
      <c r="AB12" s="354"/>
      <c r="AC12" s="354"/>
      <c r="AD12" s="354"/>
      <c r="AE12" s="354"/>
      <c r="AF12" s="354"/>
      <c r="AG12" s="354"/>
      <c r="AH12" s="354"/>
      <c r="AI12" s="354"/>
      <c r="AJ12" s="354"/>
      <c r="AK12" s="354"/>
      <c r="AL12" s="354"/>
      <c r="AM12" s="314"/>
      <c r="AP12" s="46" t="str">
        <f t="shared" si="0"/>
        <v/>
      </c>
      <c r="AS12" s="4">
        <v>0</v>
      </c>
    </row>
    <row r="13" spans="5:45" s="46" customFormat="1" ht="0.75" hidden="1" customHeight="1">
      <c r="E13" s="747"/>
      <c r="F13" s="747"/>
      <c r="G13" s="745"/>
      <c r="Q13" s="446"/>
      <c r="S13" s="447"/>
      <c r="T13" s="448" t="s">
        <v>417</v>
      </c>
      <c r="U13" s="448"/>
      <c r="V13" s="448"/>
      <c r="W13" s="448"/>
      <c r="X13" s="448"/>
      <c r="Y13" s="448"/>
      <c r="Z13" s="448"/>
      <c r="AA13" s="448"/>
      <c r="AB13" s="448"/>
      <c r="AC13" s="448"/>
      <c r="AD13" s="448"/>
      <c r="AE13" s="448"/>
      <c r="AF13" s="448"/>
      <c r="AG13" s="448"/>
      <c r="AH13" s="448"/>
      <c r="AI13" s="448"/>
      <c r="AJ13" s="448"/>
      <c r="AK13" s="448"/>
      <c r="AL13" s="448"/>
      <c r="AM13" s="448"/>
      <c r="AP13" s="46" t="str">
        <f t="shared" si="0"/>
        <v>Добавить источник для дифференциации</v>
      </c>
      <c r="AS13" s="46">
        <v>0</v>
      </c>
    </row>
    <row r="14" spans="5:45" s="46" customFormat="1" ht="0.75" hidden="1" customHeight="1">
      <c r="E14" s="747"/>
      <c r="F14" s="745"/>
      <c r="M14" s="160"/>
      <c r="N14" s="160"/>
      <c r="Q14" s="446"/>
      <c r="S14" s="449"/>
      <c r="T14" s="160" t="s">
        <v>418</v>
      </c>
      <c r="U14" s="160"/>
      <c r="V14" s="160"/>
      <c r="W14" s="160"/>
      <c r="X14" s="160"/>
      <c r="Y14" s="160"/>
      <c r="Z14" s="160"/>
      <c r="AA14" s="160"/>
      <c r="AB14" s="160"/>
      <c r="AC14" s="160"/>
      <c r="AD14" s="160"/>
      <c r="AE14" s="160"/>
      <c r="AF14" s="160"/>
      <c r="AG14" s="160"/>
      <c r="AH14" s="160"/>
      <c r="AI14" s="160"/>
      <c r="AJ14" s="160"/>
      <c r="AK14" s="160"/>
      <c r="AL14" s="160"/>
      <c r="AM14" s="160"/>
      <c r="AP14" s="46" t="str">
        <f t="shared" si="0"/>
        <v>Добавить централизованную систему для дифференциации</v>
      </c>
      <c r="AS14" s="46">
        <v>0</v>
      </c>
    </row>
    <row r="15" spans="5:45" s="46" customFormat="1" ht="0.75" hidden="1" customHeight="1">
      <c r="E15" s="745"/>
      <c r="M15" s="160"/>
      <c r="N15" s="160"/>
      <c r="Q15" s="446"/>
      <c r="S15" s="449"/>
      <c r="T15" s="160" t="s">
        <v>419</v>
      </c>
      <c r="U15" s="160"/>
      <c r="V15" s="160"/>
      <c r="W15" s="160"/>
      <c r="X15" s="160"/>
      <c r="Y15" s="160"/>
      <c r="Z15" s="160"/>
      <c r="AA15" s="160"/>
      <c r="AB15" s="160"/>
      <c r="AC15" s="160"/>
      <c r="AD15" s="160"/>
      <c r="AE15" s="160"/>
      <c r="AF15" s="160"/>
      <c r="AG15" s="160"/>
      <c r="AH15" s="160"/>
      <c r="AI15" s="160"/>
      <c r="AJ15" s="160"/>
      <c r="AK15" s="160"/>
      <c r="AL15" s="160"/>
      <c r="AM15" s="160"/>
      <c r="AP15" s="46" t="str">
        <f t="shared" si="0"/>
        <v>Добавить территорию для дифференциации</v>
      </c>
      <c r="AS15" s="46">
        <v>0</v>
      </c>
    </row>
    <row r="16" spans="5:45" ht="14.25" hidden="1" customHeight="1">
      <c r="AS16" s="4">
        <v>0</v>
      </c>
    </row>
    <row r="17" spans="1:45" ht="14.25" hidden="1" customHeight="1">
      <c r="AD17" s="205"/>
      <c r="AE17" s="205"/>
      <c r="AF17" s="205"/>
      <c r="AG17" s="451"/>
      <c r="AH17" s="746"/>
      <c r="AI17" s="745" t="s">
        <v>66</v>
      </c>
      <c r="AJ17" s="746"/>
      <c r="AK17" s="745" t="s">
        <v>66</v>
      </c>
      <c r="AS17" s="4">
        <v>0</v>
      </c>
    </row>
    <row r="18" spans="1:45" ht="14.25" hidden="1" customHeight="1">
      <c r="AD18" s="205"/>
      <c r="AE18" s="205"/>
      <c r="AF18" s="205"/>
      <c r="AG18" s="111" t="str">
        <f>AH17&amp;"-"&amp;AJ17</f>
        <v>-</v>
      </c>
      <c r="AH18" s="745"/>
      <c r="AI18" s="745"/>
      <c r="AJ18" s="745"/>
      <c r="AK18" s="745"/>
      <c r="AS18" s="4">
        <v>0</v>
      </c>
    </row>
    <row r="19" spans="1:45" ht="14.25" hidden="1" customHeight="1">
      <c r="AS19" s="4">
        <v>0</v>
      </c>
    </row>
    <row r="20" spans="1:45" s="43" customFormat="1" ht="22.5" hidden="1" customHeight="1">
      <c r="M20" s="167"/>
      <c r="N20" s="167"/>
      <c r="O20" s="261" t="s">
        <v>420</v>
      </c>
      <c r="P20" s="167"/>
      <c r="Q20" s="452"/>
      <c r="R20" s="452"/>
      <c r="Z20" s="261"/>
      <c r="AB20" s="261"/>
      <c r="AH20" s="261"/>
      <c r="AJ20" s="261"/>
      <c r="AN20" s="46"/>
      <c r="AO20" s="46"/>
      <c r="AP20" s="46"/>
      <c r="AQ20" s="46"/>
      <c r="AR20" s="46"/>
      <c r="AS20" s="43">
        <v>0</v>
      </c>
    </row>
    <row r="21" spans="1:45" s="43" customFormat="1" ht="14.25" hidden="1" customHeight="1">
      <c r="M21" s="167"/>
      <c r="N21" s="167"/>
      <c r="O21" s="167"/>
      <c r="P21" s="167"/>
      <c r="Q21" s="452"/>
      <c r="R21" s="452"/>
      <c r="AN21" s="46"/>
      <c r="AO21" s="46"/>
      <c r="AP21" s="46"/>
      <c r="AQ21" s="46"/>
      <c r="AR21" s="46"/>
      <c r="AS21" s="43">
        <v>0</v>
      </c>
    </row>
    <row r="22" spans="1:45" s="43" customFormat="1" ht="14.25" hidden="1" customHeight="1">
      <c r="M22" s="167"/>
      <c r="N22" s="167"/>
      <c r="O22" s="43" t="s">
        <v>421</v>
      </c>
      <c r="P22" s="167"/>
      <c r="Q22" s="452"/>
      <c r="R22" s="452"/>
      <c r="T22" s="43" t="s">
        <v>422</v>
      </c>
      <c r="AA22" s="43" t="s">
        <v>423</v>
      </c>
      <c r="AC22" s="43" t="s">
        <v>424</v>
      </c>
      <c r="AD22" s="43" t="s">
        <v>422</v>
      </c>
      <c r="AI22" s="43" t="s">
        <v>425</v>
      </c>
      <c r="AK22" s="43" t="s">
        <v>424</v>
      </c>
      <c r="AN22" s="46"/>
      <c r="AO22" s="46"/>
      <c r="AP22" s="46"/>
      <c r="AQ22" s="46"/>
      <c r="AR22" s="46"/>
      <c r="AS22" s="43">
        <v>0</v>
      </c>
    </row>
    <row r="23" spans="1:45" ht="14.25" hidden="1" customHeight="1">
      <c r="O23" s="43"/>
      <c r="AS23" s="4">
        <v>0</v>
      </c>
    </row>
    <row r="24" spans="1:45" ht="14.25" hidden="1" customHeight="1">
      <c r="O24" s="43"/>
      <c r="AS24" s="4">
        <v>0</v>
      </c>
    </row>
    <row r="25" spans="1:45" ht="14.65" customHeight="1">
      <c r="Q25" s="19"/>
      <c r="R25" s="19"/>
      <c r="S25" s="6"/>
      <c r="T25" s="6"/>
      <c r="U25" s="6"/>
      <c r="AS25" s="4">
        <v>14</v>
      </c>
    </row>
    <row r="26" spans="1:45" ht="54.75" customHeight="1">
      <c r="Q26" s="19"/>
      <c r="R26" s="19"/>
      <c r="S26" s="697"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697"/>
      <c r="U26" s="697"/>
      <c r="V26" s="697"/>
      <c r="W26" s="697"/>
      <c r="X26" s="697"/>
      <c r="Y26" s="697"/>
      <c r="Z26" s="697"/>
      <c r="AA26" s="697"/>
      <c r="AB26" s="697"/>
      <c r="AC26" s="697"/>
      <c r="AD26" s="697"/>
      <c r="AE26" s="697"/>
      <c r="AF26" s="697"/>
      <c r="AG26" s="697"/>
      <c r="AH26" s="697"/>
      <c r="AI26" s="697"/>
      <c r="AJ26" s="697"/>
      <c r="AK26" s="40"/>
      <c r="AS26" s="4">
        <v>52</v>
      </c>
    </row>
    <row r="27" spans="1:45" ht="14.65" customHeight="1">
      <c r="Q27" s="19"/>
      <c r="R27" s="19"/>
      <c r="S27" s="712" t="str">
        <f>IF(org=0,"Не определено",org)</f>
        <v>ООО "Восточная Тепловая компания"</v>
      </c>
      <c r="T27" s="712"/>
      <c r="U27" s="712"/>
      <c r="V27" s="712"/>
      <c r="W27" s="712"/>
      <c r="X27" s="712"/>
      <c r="Y27" s="712"/>
      <c r="Z27" s="712"/>
      <c r="AA27" s="712"/>
      <c r="AB27" s="712"/>
      <c r="AC27" s="712"/>
      <c r="AD27" s="712"/>
      <c r="AE27" s="712"/>
      <c r="AF27" s="712"/>
      <c r="AG27" s="712"/>
      <c r="AH27" s="712"/>
      <c r="AI27" s="712"/>
      <c r="AJ27" s="712"/>
      <c r="AK27" s="40"/>
      <c r="AS27" s="4">
        <v>14</v>
      </c>
    </row>
    <row r="28" spans="1:45" ht="14.25" hidden="1" customHeight="1">
      <c r="Q28" s="19"/>
      <c r="R28" s="19"/>
      <c r="S28" s="6"/>
      <c r="T28" s="6"/>
      <c r="U28" s="6"/>
      <c r="V28" s="109"/>
      <c r="W28" s="109"/>
      <c r="X28" s="109"/>
      <c r="Y28" s="109"/>
      <c r="Z28" s="109"/>
      <c r="AA28" s="109"/>
      <c r="AB28" s="109"/>
      <c r="AC28" s="109"/>
      <c r="AD28" s="109"/>
      <c r="AE28" s="109"/>
      <c r="AF28" s="109"/>
      <c r="AG28" s="109"/>
      <c r="AH28" s="109"/>
      <c r="AI28" s="109"/>
      <c r="AJ28" s="109"/>
      <c r="AK28" s="109"/>
      <c r="AS28" s="4">
        <v>0</v>
      </c>
    </row>
    <row r="29" spans="1:45" s="22" customFormat="1" ht="25.5" hidden="1" customHeight="1">
      <c r="A29" s="43"/>
      <c r="B29" s="43"/>
      <c r="C29" s="43"/>
      <c r="D29" s="43"/>
      <c r="E29" s="43"/>
      <c r="F29" s="43"/>
      <c r="G29" s="43"/>
      <c r="H29" s="43"/>
      <c r="I29" s="43"/>
      <c r="J29" s="43"/>
      <c r="K29" s="43"/>
      <c r="L29" s="43"/>
      <c r="M29" s="43"/>
      <c r="N29" s="43"/>
      <c r="O29" s="43"/>
      <c r="S29" s="721" t="s">
        <v>42</v>
      </c>
      <c r="T29" s="721"/>
      <c r="U29" s="453"/>
      <c r="V29" s="741" t="str">
        <f>IF(TITLE_NAME_OR_PR_CHANGE="",IF(TITLE_NAME_OR_PR="","",TITLE_NAME_OR_PR),TITLE_NAME_OR_PR_CHANGE)</f>
        <v/>
      </c>
      <c r="W29" s="741"/>
      <c r="X29" s="741"/>
      <c r="Y29" s="741"/>
      <c r="Z29" s="741"/>
      <c r="AA29" s="741"/>
      <c r="AB29" s="741"/>
      <c r="AC29" s="4"/>
      <c r="AD29" s="741" t="str">
        <f>IF(TITLE_NAME_OR_PR_CHANGE="",IF(TITLE_NAME_OR_PR="","",TITLE_NAME_OR_PR),TITLE_NAME_OR_PR_CHANGE)</f>
        <v/>
      </c>
      <c r="AE29" s="741"/>
      <c r="AF29" s="741"/>
      <c r="AG29" s="741"/>
      <c r="AH29" s="741"/>
      <c r="AI29" s="741"/>
      <c r="AJ29" s="741"/>
      <c r="AK29" s="4"/>
      <c r="AL29" s="4"/>
      <c r="AM29" s="96"/>
      <c r="AN29" s="46"/>
      <c r="AO29" s="46"/>
      <c r="AP29" s="46"/>
      <c r="AQ29" s="46"/>
      <c r="AR29" s="46"/>
      <c r="AS29" s="22">
        <v>0</v>
      </c>
    </row>
    <row r="30" spans="1:45" s="22" customFormat="1" ht="18.75" hidden="1" customHeight="1">
      <c r="A30" s="43"/>
      <c r="B30" s="43"/>
      <c r="C30" s="43"/>
      <c r="D30" s="43"/>
      <c r="E30" s="43"/>
      <c r="F30" s="43"/>
      <c r="G30" s="43"/>
      <c r="H30" s="43"/>
      <c r="I30" s="43"/>
      <c r="J30" s="43"/>
      <c r="K30" s="43"/>
      <c r="L30" s="43"/>
      <c r="M30" s="43"/>
      <c r="N30" s="43"/>
      <c r="O30" s="43"/>
      <c r="S30" s="721" t="s">
        <v>426</v>
      </c>
      <c r="T30" s="721"/>
      <c r="U30" s="453"/>
      <c r="V30" s="740" t="str">
        <f>IF(TITLE_DATE_PR_CHANGE="",IF(TITLE_DATE_PR="","",TITLE_DATE_PR),TITLE_DATE_PR_CHANGE)</f>
        <v/>
      </c>
      <c r="W30" s="740"/>
      <c r="X30" s="740"/>
      <c r="Y30" s="740"/>
      <c r="Z30" s="740"/>
      <c r="AA30" s="740"/>
      <c r="AB30" s="740"/>
      <c r="AC30" s="4"/>
      <c r="AD30" s="740" t="str">
        <f>IF(TITLE_DATE_PR_CHANGE="",IF(TITLE_DATE_PR="","",TITLE_DATE_PR),TITLE_DATE_PR_CHANGE)</f>
        <v/>
      </c>
      <c r="AE30" s="740"/>
      <c r="AF30" s="740"/>
      <c r="AG30" s="740"/>
      <c r="AH30" s="740"/>
      <c r="AI30" s="740"/>
      <c r="AJ30" s="740"/>
      <c r="AK30" s="4"/>
      <c r="AL30" s="4"/>
      <c r="AM30" s="96"/>
      <c r="AN30" s="46"/>
      <c r="AO30" s="46"/>
      <c r="AP30" s="46"/>
      <c r="AQ30" s="46"/>
      <c r="AR30" s="46"/>
      <c r="AS30" s="22">
        <v>0</v>
      </c>
    </row>
    <row r="31" spans="1:45" s="22" customFormat="1" ht="18.75" hidden="1" customHeight="1">
      <c r="A31" s="43"/>
      <c r="B31" s="43"/>
      <c r="C31" s="43"/>
      <c r="D31" s="43"/>
      <c r="E31" s="43"/>
      <c r="F31" s="43"/>
      <c r="G31" s="43"/>
      <c r="H31" s="43"/>
      <c r="I31" s="43"/>
      <c r="J31" s="43"/>
      <c r="K31" s="43"/>
      <c r="L31" s="43"/>
      <c r="M31" s="43"/>
      <c r="N31" s="43"/>
      <c r="O31" s="43"/>
      <c r="S31" s="721" t="s">
        <v>427</v>
      </c>
      <c r="T31" s="721"/>
      <c r="U31" s="453"/>
      <c r="V31" s="741" t="str">
        <f>IF(TITLE_NUMBER_PR_CHANGE="",IF(TITLE_NUMBER_PR="","",TITLE_NUMBER_PR),TITLE_NUMBER_PR_CHANGE)</f>
        <v/>
      </c>
      <c r="W31" s="741"/>
      <c r="X31" s="741"/>
      <c r="Y31" s="741"/>
      <c r="Z31" s="741"/>
      <c r="AA31" s="741"/>
      <c r="AB31" s="741"/>
      <c r="AC31" s="4"/>
      <c r="AD31" s="741" t="str">
        <f>IF(TITLE_NUMBER_PR_CHANGE="",IF(TITLE_NUMBER_PR="","",TITLE_NUMBER_PR),TITLE_NUMBER_PR_CHANGE)</f>
        <v/>
      </c>
      <c r="AE31" s="741"/>
      <c r="AF31" s="741"/>
      <c r="AG31" s="741"/>
      <c r="AH31" s="741"/>
      <c r="AI31" s="741"/>
      <c r="AJ31" s="741"/>
      <c r="AK31" s="4"/>
      <c r="AL31" s="4"/>
      <c r="AM31" s="96"/>
      <c r="AN31" s="46"/>
      <c r="AO31" s="46"/>
      <c r="AP31" s="46"/>
      <c r="AQ31" s="46"/>
      <c r="AR31" s="46"/>
      <c r="AS31" s="22">
        <v>0</v>
      </c>
    </row>
    <row r="32" spans="1:45" s="22" customFormat="1" ht="18.75" hidden="1" customHeight="1">
      <c r="A32" s="43"/>
      <c r="B32" s="43"/>
      <c r="C32" s="43"/>
      <c r="D32" s="43"/>
      <c r="E32" s="43"/>
      <c r="F32" s="43"/>
      <c r="G32" s="43"/>
      <c r="H32" s="43"/>
      <c r="I32" s="43"/>
      <c r="J32" s="43"/>
      <c r="K32" s="43"/>
      <c r="L32" s="43"/>
      <c r="M32" s="43"/>
      <c r="N32" s="43"/>
      <c r="O32" s="43"/>
      <c r="S32" s="721" t="s">
        <v>43</v>
      </c>
      <c r="T32" s="721"/>
      <c r="U32" s="453"/>
      <c r="V32" s="741" t="str">
        <f>IF(TITLE_IST_PUB_CHANGE="",IF(TITLE_IST_PUB="","",TITLE_IST_PUB),TITLE_IST_PUB_CHANGE)</f>
        <v/>
      </c>
      <c r="W32" s="741"/>
      <c r="X32" s="741"/>
      <c r="Y32" s="741"/>
      <c r="Z32" s="741"/>
      <c r="AA32" s="741"/>
      <c r="AB32" s="741"/>
      <c r="AC32" s="4"/>
      <c r="AD32" s="741" t="str">
        <f>IF(TITLE_IST_PUB_CHANGE="",IF(TITLE_IST_PUB="","",TITLE_IST_PUB),TITLE_IST_PUB_CHANGE)</f>
        <v/>
      </c>
      <c r="AE32" s="741"/>
      <c r="AF32" s="741"/>
      <c r="AG32" s="741"/>
      <c r="AH32" s="741"/>
      <c r="AI32" s="741"/>
      <c r="AJ32" s="741"/>
      <c r="AK32" s="4"/>
      <c r="AL32" s="4"/>
      <c r="AM32" s="96"/>
      <c r="AN32" s="46"/>
      <c r="AO32" s="46"/>
      <c r="AP32" s="46"/>
      <c r="AQ32" s="46"/>
      <c r="AR32" s="46"/>
      <c r="AS32" s="22">
        <v>0</v>
      </c>
    </row>
    <row r="33" spans="1:45" ht="14.25" hidden="1" customHeight="1">
      <c r="Q33" s="19"/>
      <c r="R33" s="19"/>
      <c r="S33" s="6"/>
      <c r="T33" s="6"/>
      <c r="U33" s="6"/>
      <c r="V33" s="109"/>
      <c r="W33" s="109"/>
      <c r="X33" s="109"/>
      <c r="Y33" s="109"/>
      <c r="Z33" s="109"/>
      <c r="AA33" s="109"/>
      <c r="AB33" s="109"/>
      <c r="AC33" s="109"/>
      <c r="AD33" s="109"/>
      <c r="AE33" s="109"/>
      <c r="AF33" s="109"/>
      <c r="AG33" s="109"/>
      <c r="AH33" s="109"/>
      <c r="AI33" s="109"/>
      <c r="AJ33" s="109"/>
      <c r="AK33" s="109"/>
      <c r="AS33" s="4">
        <v>0</v>
      </c>
    </row>
    <row r="34" spans="1:45" s="22" customFormat="1" ht="18.75" hidden="1" customHeight="1">
      <c r="A34" s="43"/>
      <c r="B34" s="43"/>
      <c r="C34" s="43"/>
      <c r="D34" s="43"/>
      <c r="E34" s="43"/>
      <c r="F34" s="43"/>
      <c r="G34" s="43"/>
      <c r="H34" s="43"/>
      <c r="I34" s="43"/>
      <c r="J34" s="43"/>
      <c r="K34" s="43"/>
      <c r="L34" s="43"/>
      <c r="M34" s="43"/>
      <c r="N34" s="43"/>
      <c r="O34" s="43"/>
      <c r="S34" s="721" t="s">
        <v>428</v>
      </c>
      <c r="T34" s="721"/>
      <c r="U34" s="453"/>
      <c r="V34" s="740" t="str">
        <f>IF(TITLE_DATE_PR_CHANGE="",IF(TITLE_DATE_PR="","",TITLE_DATE_PR),TITLE_DATE_PR_CHANGE)</f>
        <v/>
      </c>
      <c r="W34" s="740"/>
      <c r="X34" s="740"/>
      <c r="Y34" s="740"/>
      <c r="Z34" s="740"/>
      <c r="AA34" s="740"/>
      <c r="AB34" s="740"/>
      <c r="AC34" s="4"/>
      <c r="AD34" s="740" t="str">
        <f>IF(TITLE_DATE_PR_CHANGE="",IF(TITLE_DATE_PR="","",TITLE_DATE_PR),TITLE_DATE_PR_CHANGE)</f>
        <v/>
      </c>
      <c r="AE34" s="740"/>
      <c r="AF34" s="740"/>
      <c r="AG34" s="740"/>
      <c r="AH34" s="740"/>
      <c r="AI34" s="740"/>
      <c r="AJ34" s="740"/>
      <c r="AK34" s="4"/>
      <c r="AL34" s="4"/>
      <c r="AM34" s="96"/>
      <c r="AN34" s="46"/>
      <c r="AO34" s="46"/>
      <c r="AP34" s="46"/>
      <c r="AQ34" s="46"/>
      <c r="AR34" s="46"/>
      <c r="AS34" s="22">
        <v>0</v>
      </c>
    </row>
    <row r="35" spans="1:45" s="22" customFormat="1" ht="18.75" hidden="1" customHeight="1">
      <c r="A35" s="43"/>
      <c r="B35" s="43"/>
      <c r="C35" s="43"/>
      <c r="D35" s="43"/>
      <c r="E35" s="43"/>
      <c r="F35" s="43"/>
      <c r="G35" s="43"/>
      <c r="H35" s="43"/>
      <c r="I35" s="43"/>
      <c r="J35" s="43"/>
      <c r="K35" s="43"/>
      <c r="L35" s="43"/>
      <c r="M35" s="43"/>
      <c r="N35" s="43"/>
      <c r="O35" s="43"/>
      <c r="S35" s="721" t="s">
        <v>429</v>
      </c>
      <c r="T35" s="721"/>
      <c r="U35" s="453"/>
      <c r="V35" s="741" t="str">
        <f>IF(TITLE_NUMBER_PR_CHANGE="",IF(TITLE_NUMBER_PR="","",TITLE_NUMBER_PR),TITLE_NUMBER_PR_CHANGE)</f>
        <v/>
      </c>
      <c r="W35" s="741"/>
      <c r="X35" s="741"/>
      <c r="Y35" s="741"/>
      <c r="Z35" s="741"/>
      <c r="AA35" s="741"/>
      <c r="AB35" s="741"/>
      <c r="AC35" s="4"/>
      <c r="AD35" s="741" t="str">
        <f>IF(TITLE_NUMBER_PR_CHANGE="",IF(TITLE_NUMBER_PR="","",TITLE_NUMBER_PR),TITLE_NUMBER_PR_CHANGE)</f>
        <v/>
      </c>
      <c r="AE35" s="741"/>
      <c r="AF35" s="741"/>
      <c r="AG35" s="741"/>
      <c r="AH35" s="741"/>
      <c r="AI35" s="741"/>
      <c r="AJ35" s="741"/>
      <c r="AK35" s="4"/>
      <c r="AL35" s="4"/>
      <c r="AM35" s="96"/>
      <c r="AN35" s="46"/>
      <c r="AO35" s="46"/>
      <c r="AP35" s="46"/>
      <c r="AQ35" s="46"/>
      <c r="AR35" s="46"/>
      <c r="AS35" s="22">
        <v>0</v>
      </c>
    </row>
    <row r="36" spans="1:45" s="22" customFormat="1" ht="0" hidden="1" customHeight="1">
      <c r="A36" s="43"/>
      <c r="B36" s="43"/>
      <c r="C36" s="43"/>
      <c r="D36" s="43"/>
      <c r="E36" s="43"/>
      <c r="F36" s="43"/>
      <c r="G36" s="43"/>
      <c r="H36" s="43"/>
      <c r="I36" s="43"/>
      <c r="J36" s="43"/>
      <c r="K36" s="43"/>
      <c r="L36" s="43"/>
      <c r="M36" s="43"/>
      <c r="N36" s="43"/>
      <c r="O36" s="43"/>
      <c r="S36" s="4"/>
      <c r="T36" s="4"/>
      <c r="U36" s="4"/>
      <c r="V36" s="4"/>
      <c r="W36" s="4"/>
      <c r="X36" s="4"/>
      <c r="Y36" s="4"/>
      <c r="Z36" s="4"/>
      <c r="AA36" s="4"/>
      <c r="AB36" s="4"/>
      <c r="AC36" s="46" t="s">
        <v>430</v>
      </c>
      <c r="AD36" s="4"/>
      <c r="AE36" s="4"/>
      <c r="AF36" s="4"/>
      <c r="AG36" s="4"/>
      <c r="AH36" s="4"/>
      <c r="AI36" s="4"/>
      <c r="AJ36" s="4"/>
      <c r="AK36" s="46" t="s">
        <v>430</v>
      </c>
      <c r="AN36" s="46"/>
      <c r="AO36" s="46"/>
      <c r="AP36" s="46"/>
      <c r="AQ36" s="46"/>
      <c r="AR36" s="46"/>
      <c r="AS36" s="22">
        <v>0</v>
      </c>
    </row>
    <row r="37" spans="1:45" ht="14.65" customHeight="1">
      <c r="Q37" s="19"/>
      <c r="R37" s="19"/>
      <c r="S37" s="6"/>
      <c r="T37" s="6"/>
      <c r="U37" s="420"/>
      <c r="V37" s="755"/>
      <c r="W37" s="755"/>
      <c r="X37" s="755"/>
      <c r="Y37" s="755"/>
      <c r="Z37" s="755"/>
      <c r="AA37" s="755"/>
      <c r="AB37" s="755"/>
      <c r="AC37" s="755"/>
      <c r="AD37" s="755"/>
      <c r="AE37" s="755"/>
      <c r="AF37" s="755"/>
      <c r="AG37" s="755"/>
      <c r="AH37" s="755"/>
      <c r="AI37" s="755"/>
      <c r="AJ37" s="755"/>
      <c r="AK37" s="755"/>
      <c r="AS37" s="4">
        <v>14</v>
      </c>
    </row>
    <row r="38" spans="1:45" ht="14.65" customHeight="1">
      <c r="Q38" s="19"/>
      <c r="R38" s="19"/>
      <c r="S38" s="679" t="s">
        <v>303</v>
      </c>
      <c r="T38" s="679"/>
      <c r="U38" s="679"/>
      <c r="V38" s="679"/>
      <c r="W38" s="679"/>
      <c r="X38" s="679"/>
      <c r="Y38" s="679"/>
      <c r="Z38" s="679"/>
      <c r="AA38" s="679"/>
      <c r="AB38" s="679"/>
      <c r="AC38" s="679"/>
      <c r="AD38" s="679"/>
      <c r="AE38" s="679"/>
      <c r="AF38" s="679"/>
      <c r="AG38" s="679"/>
      <c r="AH38" s="679"/>
      <c r="AI38" s="679"/>
      <c r="AJ38" s="679"/>
      <c r="AK38" s="679"/>
      <c r="AL38" s="679"/>
      <c r="AM38" s="679" t="s">
        <v>304</v>
      </c>
      <c r="AS38" s="4">
        <v>14</v>
      </c>
    </row>
    <row r="39" spans="1:45" ht="14.65" customHeight="1">
      <c r="Q39" s="19"/>
      <c r="R39" s="19"/>
      <c r="S39" s="722" t="s">
        <v>88</v>
      </c>
      <c r="T39" s="722" t="s">
        <v>431</v>
      </c>
      <c r="U39" s="100"/>
      <c r="V39" s="756" t="s">
        <v>432</v>
      </c>
      <c r="W39" s="757"/>
      <c r="X39" s="757"/>
      <c r="Y39" s="757"/>
      <c r="Z39" s="757"/>
      <c r="AA39" s="757"/>
      <c r="AB39" s="758"/>
      <c r="AC39" s="724" t="s">
        <v>433</v>
      </c>
      <c r="AD39" s="756" t="s">
        <v>432</v>
      </c>
      <c r="AE39" s="757"/>
      <c r="AF39" s="757"/>
      <c r="AG39" s="757"/>
      <c r="AH39" s="757"/>
      <c r="AI39" s="757"/>
      <c r="AJ39" s="758"/>
      <c r="AK39" s="724" t="s">
        <v>434</v>
      </c>
      <c r="AL39" s="759" t="s">
        <v>435</v>
      </c>
      <c r="AM39" s="679"/>
      <c r="AS39" s="4">
        <v>14</v>
      </c>
    </row>
    <row r="40" spans="1:45" ht="35.65" customHeight="1">
      <c r="Q40" s="19"/>
      <c r="R40" s="19"/>
      <c r="S40" s="722"/>
      <c r="T40" s="722"/>
      <c r="U40" s="349"/>
      <c r="V40" s="673" t="s">
        <v>436</v>
      </c>
      <c r="W40" s="752"/>
      <c r="X40" s="662" t="s">
        <v>438</v>
      </c>
      <c r="Y40" s="661"/>
      <c r="Z40" s="662" t="s">
        <v>439</v>
      </c>
      <c r="AA40" s="666"/>
      <c r="AB40" s="661"/>
      <c r="AC40" s="725"/>
      <c r="AD40" s="673" t="s">
        <v>453</v>
      </c>
      <c r="AE40" s="752"/>
      <c r="AF40" s="662" t="s">
        <v>438</v>
      </c>
      <c r="AG40" s="661"/>
      <c r="AH40" s="662" t="s">
        <v>439</v>
      </c>
      <c r="AI40" s="666"/>
      <c r="AJ40" s="661"/>
      <c r="AK40" s="725"/>
      <c r="AL40" s="760"/>
      <c r="AM40" s="679"/>
      <c r="AS40" s="4">
        <v>34</v>
      </c>
    </row>
    <row r="41" spans="1:45" ht="35.65" customHeight="1">
      <c r="B41" s="43" t="s">
        <v>140</v>
      </c>
      <c r="C41" s="43" t="s">
        <v>141</v>
      </c>
      <c r="D41" s="43" t="s">
        <v>142</v>
      </c>
      <c r="E41" s="43" t="s">
        <v>440</v>
      </c>
      <c r="F41" s="43" t="s">
        <v>441</v>
      </c>
      <c r="G41" s="43" t="s">
        <v>442</v>
      </c>
      <c r="H41" s="43" t="s">
        <v>443</v>
      </c>
      <c r="I41" s="43" t="s">
        <v>444</v>
      </c>
      <c r="J41" s="43" t="s">
        <v>445</v>
      </c>
      <c r="K41" s="43" t="s">
        <v>446</v>
      </c>
      <c r="L41" s="43" t="s">
        <v>421</v>
      </c>
      <c r="Q41" s="19"/>
      <c r="R41" s="19"/>
      <c r="S41" s="722"/>
      <c r="T41" s="722"/>
      <c r="U41" s="101"/>
      <c r="V41" s="676"/>
      <c r="W41" s="753"/>
      <c r="X41" s="27" t="s">
        <v>447</v>
      </c>
      <c r="Y41" s="27" t="s">
        <v>448</v>
      </c>
      <c r="Z41" s="27" t="s">
        <v>449</v>
      </c>
      <c r="AA41" s="728" t="s">
        <v>450</v>
      </c>
      <c r="AB41" s="734"/>
      <c r="AC41" s="726"/>
      <c r="AD41" s="676"/>
      <c r="AE41" s="753"/>
      <c r="AF41" s="27" t="s">
        <v>447</v>
      </c>
      <c r="AG41" s="27" t="s">
        <v>448</v>
      </c>
      <c r="AH41" s="27" t="s">
        <v>449</v>
      </c>
      <c r="AI41" s="728" t="s">
        <v>450</v>
      </c>
      <c r="AJ41" s="734"/>
      <c r="AK41" s="726"/>
      <c r="AL41" s="761"/>
      <c r="AM41" s="679"/>
      <c r="AS41" s="4">
        <v>34</v>
      </c>
    </row>
    <row r="42" spans="1:45" s="117" customFormat="1" ht="11.25" hidden="1" customHeight="1">
      <c r="A42" s="43"/>
      <c r="B42" s="43"/>
      <c r="C42" s="43"/>
      <c r="D42" s="43"/>
      <c r="E42" s="43"/>
      <c r="F42" s="43"/>
      <c r="G42" s="43"/>
      <c r="H42" s="43"/>
      <c r="I42" s="43"/>
      <c r="J42" s="43"/>
      <c r="K42" s="43"/>
      <c r="L42" s="43"/>
      <c r="M42" s="167"/>
      <c r="N42" s="167"/>
      <c r="O42" s="167"/>
      <c r="P42" s="178"/>
      <c r="Q42" s="422"/>
      <c r="R42" s="424">
        <v>1</v>
      </c>
      <c r="S42" s="425" t="s">
        <v>110</v>
      </c>
      <c r="T42" s="425" t="s">
        <v>111</v>
      </c>
      <c r="U42" s="421" t="str">
        <f ca="1">OFFSET(U42,0,-1)</f>
        <v>2</v>
      </c>
      <c r="V42" s="426">
        <f ca="1">OFFSET(V42,0,-1)+1</f>
        <v>3</v>
      </c>
      <c r="W42" s="426"/>
      <c r="X42" s="426">
        <f ca="1">OFFSET(X42,0,-1)+1</f>
        <v>1</v>
      </c>
      <c r="Y42" s="426">
        <f ca="1">OFFSET(Y42,0,-1)+1</f>
        <v>2</v>
      </c>
      <c r="Z42" s="426">
        <f ca="1">OFFSET(Z42,0,-1)+1</f>
        <v>3</v>
      </c>
      <c r="AA42" s="754">
        <f ca="1">OFFSET(AA42,0,-1)+1</f>
        <v>4</v>
      </c>
      <c r="AB42" s="754"/>
      <c r="AC42" s="426">
        <f ca="1">OFFSET(AC42,0,-2)+1</f>
        <v>5</v>
      </c>
      <c r="AD42" s="426">
        <f ca="1">OFFSET(AD42,0,-1)+1</f>
        <v>6</v>
      </c>
      <c r="AE42" s="426"/>
      <c r="AF42" s="426">
        <f ca="1">OFFSET(AF42,0,-1)+1</f>
        <v>1</v>
      </c>
      <c r="AG42" s="426">
        <f ca="1">OFFSET(AG42,0,-1)+1</f>
        <v>2</v>
      </c>
      <c r="AH42" s="426">
        <f ca="1">OFFSET(AH42,0,-1)+1</f>
        <v>3</v>
      </c>
      <c r="AI42" s="754">
        <f ca="1">OFFSET(AI42,0,-1)+1</f>
        <v>4</v>
      </c>
      <c r="AJ42" s="754"/>
      <c r="AK42" s="426">
        <f ca="1">OFFSET(AK42,0,-2)+1</f>
        <v>5</v>
      </c>
      <c r="AL42" s="421">
        <f ca="1">OFFSET(AL42,0,-1)</f>
        <v>5</v>
      </c>
      <c r="AM42" s="426">
        <f ca="1">OFFSET(AM42,0,-1)+1</f>
        <v>6</v>
      </c>
      <c r="AN42" s="46"/>
      <c r="AO42" s="46"/>
      <c r="AP42" s="46"/>
      <c r="AQ42" s="46"/>
      <c r="AR42" s="46"/>
      <c r="AS42" s="117">
        <v>0</v>
      </c>
    </row>
    <row r="43" spans="1:45" ht="21.95" customHeight="1">
      <c r="A43" s="43" t="s">
        <v>185</v>
      </c>
      <c r="E43" s="745">
        <v>1</v>
      </c>
      <c r="M43" s="43"/>
      <c r="N43" s="43"/>
      <c r="O43" s="43"/>
      <c r="Q43" s="4"/>
      <c r="R43" s="119"/>
      <c r="S43" s="24">
        <f>INDEX(PT_DIFFERENTIATION_NUM_NTAR,MATCH(A43,PT_DIFFERENTIATION_NTAR_ID,0))</f>
        <v>0</v>
      </c>
      <c r="T43" s="29" t="s">
        <v>128</v>
      </c>
      <c r="U43" s="29"/>
      <c r="V43" s="742"/>
      <c r="W43" s="743"/>
      <c r="X43" s="743"/>
      <c r="Y43" s="743"/>
      <c r="Z43" s="743"/>
      <c r="AA43" s="743"/>
      <c r="AB43" s="743"/>
      <c r="AC43" s="744"/>
      <c r="AD43" s="742" t="str">
        <f>INDEX(PT_DIFFERENTIATION_NTAR,MATCH(A43,PT_DIFFERENTIATION_NTAR_ID,0))</f>
        <v/>
      </c>
      <c r="AE43" s="743"/>
      <c r="AF43" s="743"/>
      <c r="AG43" s="743"/>
      <c r="AH43" s="743"/>
      <c r="AI43" s="743"/>
      <c r="AJ43" s="743"/>
      <c r="AK43" s="743"/>
      <c r="AL43" s="744"/>
      <c r="AM43" s="428"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P43" s="46" t="str">
        <f t="shared" ref="AP43:AP57" si="1">IF(T43="","",T43)</f>
        <v>Наименование тарифа</v>
      </c>
      <c r="AS43" s="4">
        <v>21</v>
      </c>
    </row>
    <row r="44" spans="1:45" ht="21.95" customHeight="1">
      <c r="A44" s="43" t="s">
        <v>185</v>
      </c>
      <c r="B44" s="43" t="s">
        <v>186</v>
      </c>
      <c r="E44" s="747"/>
      <c r="F44" s="745">
        <v>1</v>
      </c>
      <c r="M44" s="43"/>
      <c r="N44" s="43"/>
      <c r="O44" s="43"/>
      <c r="P44" s="4"/>
      <c r="Q44" s="118"/>
      <c r="R44" s="119"/>
      <c r="S44" s="24" t="str">
        <f>INDEX(PT_DIFFERENTIATION_NUM_TER,MATCH(B44,PT_DIFFERENTIATION_TER_ID,0))</f>
        <v>.</v>
      </c>
      <c r="T44" s="24" t="s">
        <v>400</v>
      </c>
      <c r="U44" s="29"/>
      <c r="V44" s="742"/>
      <c r="W44" s="743"/>
      <c r="X44" s="743"/>
      <c r="Y44" s="743"/>
      <c r="Z44" s="743"/>
      <c r="AA44" s="743"/>
      <c r="AB44" s="743"/>
      <c r="AC44" s="744"/>
      <c r="AD44" s="742" t="str">
        <f>INDEX(PT_DIFFERENTIATION_TER,MATCH(B44,PT_DIFFERENTIATION_TER_ID,0))</f>
        <v/>
      </c>
      <c r="AE44" s="743"/>
      <c r="AF44" s="743"/>
      <c r="AG44" s="743"/>
      <c r="AH44" s="743"/>
      <c r="AI44" s="743"/>
      <c r="AJ44" s="743"/>
      <c r="AK44" s="743"/>
      <c r="AL44" s="744"/>
      <c r="AM44" s="428" t="s">
        <v>401</v>
      </c>
      <c r="AP44" s="46" t="str">
        <f t="shared" si="1"/>
        <v>Территория действия тарифа</v>
      </c>
      <c r="AS44" s="4">
        <v>21</v>
      </c>
    </row>
    <row r="45" spans="1:45" ht="24" customHeight="1">
      <c r="A45" s="43" t="s">
        <v>185</v>
      </c>
      <c r="B45" s="43" t="s">
        <v>186</v>
      </c>
      <c r="C45" s="43" t="s">
        <v>187</v>
      </c>
      <c r="E45" s="747"/>
      <c r="F45" s="747"/>
      <c r="G45" s="745">
        <v>1</v>
      </c>
      <c r="M45" s="43"/>
      <c r="N45" s="43"/>
      <c r="O45" s="43"/>
      <c r="P45" s="16"/>
      <c r="Q45" s="118"/>
      <c r="R45" s="119"/>
      <c r="S45" s="24" t="str">
        <f>INDEX(PT_DIFFERENTIATION_NUM_CS,MATCH(C45,PT_DIFFERENTIATION_CS_ID,0))</f>
        <v>..</v>
      </c>
      <c r="T45" s="24" t="s">
        <v>402</v>
      </c>
      <c r="U45" s="29"/>
      <c r="V45" s="742"/>
      <c r="W45" s="743"/>
      <c r="X45" s="743"/>
      <c r="Y45" s="743"/>
      <c r="Z45" s="743"/>
      <c r="AA45" s="743"/>
      <c r="AB45" s="743"/>
      <c r="AC45" s="744"/>
      <c r="AD45" s="742" t="str">
        <f>INDEX(PT_DIFFERENTIATION_CS,MATCH(C45,PT_DIFFERENTIATION_CS_ID,0))</f>
        <v/>
      </c>
      <c r="AE45" s="743"/>
      <c r="AF45" s="743"/>
      <c r="AG45" s="743"/>
      <c r="AH45" s="743"/>
      <c r="AI45" s="743"/>
      <c r="AJ45" s="743"/>
      <c r="AK45" s="743"/>
      <c r="AL45" s="744"/>
      <c r="AM45" s="428" t="s">
        <v>403</v>
      </c>
      <c r="AP45" s="46" t="str">
        <f t="shared" si="1"/>
        <v xml:space="preserve">Наименование системы теплоснабжения </v>
      </c>
      <c r="AS45" s="4">
        <v>23</v>
      </c>
    </row>
    <row r="46" spans="1:45" ht="21.95" customHeight="1">
      <c r="A46" s="43" t="s">
        <v>185</v>
      </c>
      <c r="B46" s="43" t="s">
        <v>186</v>
      </c>
      <c r="C46" s="43" t="s">
        <v>187</v>
      </c>
      <c r="D46" s="43" t="s">
        <v>188</v>
      </c>
      <c r="E46" s="747"/>
      <c r="F46" s="747"/>
      <c r="G46" s="747"/>
      <c r="H46" s="745">
        <v>1</v>
      </c>
      <c r="M46" s="43"/>
      <c r="N46" s="43"/>
      <c r="O46" s="43"/>
      <c r="P46" s="16"/>
      <c r="Q46" s="118"/>
      <c r="R46" s="119"/>
      <c r="S46" s="24" t="str">
        <f>INDEX(PT_DIFFERENTIATION_NUM_IST_TE,MATCH(D46,PT_DIFFERENTIATION_IST_TE_ID,0))</f>
        <v>...</v>
      </c>
      <c r="T46" s="24" t="s">
        <v>404</v>
      </c>
      <c r="U46" s="29"/>
      <c r="V46" s="742"/>
      <c r="W46" s="743"/>
      <c r="X46" s="743"/>
      <c r="Y46" s="743"/>
      <c r="Z46" s="743"/>
      <c r="AA46" s="743"/>
      <c r="AB46" s="743"/>
      <c r="AC46" s="744"/>
      <c r="AD46" s="742" t="str">
        <f>INDEX(PT_DIFFERENTIATION_IST_TE,MATCH(D46,PT_DIFFERENTIATION_IST_TE_ID,0))</f>
        <v/>
      </c>
      <c r="AE46" s="743"/>
      <c r="AF46" s="743"/>
      <c r="AG46" s="743"/>
      <c r="AH46" s="743"/>
      <c r="AI46" s="743"/>
      <c r="AJ46" s="743"/>
      <c r="AK46" s="743"/>
      <c r="AL46" s="744"/>
      <c r="AM46" s="428" t="s">
        <v>405</v>
      </c>
      <c r="AP46" s="46" t="str">
        <f t="shared" si="1"/>
        <v xml:space="preserve">Источник тепловой энергии  </v>
      </c>
      <c r="AS46" s="4">
        <v>21</v>
      </c>
    </row>
    <row r="47" spans="1:45" s="46" customFormat="1" ht="0" hidden="1" customHeight="1">
      <c r="A47" s="46" t="s">
        <v>185</v>
      </c>
      <c r="B47" s="46" t="s">
        <v>186</v>
      </c>
      <c r="C47" s="46" t="s">
        <v>187</v>
      </c>
      <c r="D47" s="46" t="s">
        <v>188</v>
      </c>
      <c r="E47" s="747"/>
      <c r="F47" s="747"/>
      <c r="G47" s="747"/>
      <c r="H47" s="747"/>
      <c r="I47" s="745" t="str">
        <f>S46&amp;".1"</f>
        <v>....1</v>
      </c>
      <c r="L47" s="46" t="s">
        <v>406</v>
      </c>
      <c r="M47" s="160"/>
      <c r="N47" s="160"/>
      <c r="O47" s="160"/>
      <c r="P47" s="748">
        <v>1</v>
      </c>
      <c r="R47" s="120"/>
      <c r="S47" s="174"/>
      <c r="T47" s="174"/>
      <c r="U47" s="174"/>
      <c r="V47" s="768"/>
      <c r="W47" s="769"/>
      <c r="X47" s="769"/>
      <c r="Y47" s="769"/>
      <c r="Z47" s="769"/>
      <c r="AA47" s="769"/>
      <c r="AB47" s="769"/>
      <c r="AC47" s="770"/>
      <c r="AD47" s="768"/>
      <c r="AE47" s="769"/>
      <c r="AF47" s="769"/>
      <c r="AG47" s="769"/>
      <c r="AH47" s="769"/>
      <c r="AI47" s="769"/>
      <c r="AJ47" s="769"/>
      <c r="AK47" s="769"/>
      <c r="AL47" s="770"/>
      <c r="AM47" s="174"/>
      <c r="AP47" s="46" t="str">
        <f t="shared" si="1"/>
        <v/>
      </c>
      <c r="AS47" s="46">
        <v>0</v>
      </c>
    </row>
    <row r="48" spans="1:45" ht="21.95" customHeight="1">
      <c r="A48" s="43" t="s">
        <v>185</v>
      </c>
      <c r="B48" s="43" t="s">
        <v>186</v>
      </c>
      <c r="C48" s="43" t="s">
        <v>187</v>
      </c>
      <c r="D48" s="43" t="s">
        <v>188</v>
      </c>
      <c r="E48" s="747"/>
      <c r="F48" s="747"/>
      <c r="G48" s="747"/>
      <c r="H48" s="747"/>
      <c r="I48" s="747"/>
      <c r="J48" s="745" t="str">
        <f>S46&amp;".1"</f>
        <v>....1</v>
      </c>
      <c r="L48" s="43" t="s">
        <v>409</v>
      </c>
      <c r="P48" s="748"/>
      <c r="Q48" s="748">
        <v>1</v>
      </c>
      <c r="R48" s="120"/>
      <c r="S48" s="24" t="str">
        <f>$J48</f>
        <v>....1</v>
      </c>
      <c r="T48" s="24" t="s">
        <v>410</v>
      </c>
      <c r="U48" s="29"/>
      <c r="V48" s="737"/>
      <c r="W48" s="738"/>
      <c r="X48" s="738"/>
      <c r="Y48" s="738"/>
      <c r="Z48" s="738"/>
      <c r="AA48" s="738"/>
      <c r="AB48" s="738"/>
      <c r="AC48" s="739"/>
      <c r="AD48" s="737"/>
      <c r="AE48" s="738"/>
      <c r="AF48" s="738"/>
      <c r="AG48" s="738"/>
      <c r="AH48" s="738"/>
      <c r="AI48" s="738"/>
      <c r="AJ48" s="738"/>
      <c r="AK48" s="738"/>
      <c r="AL48" s="739"/>
      <c r="AM48" s="428" t="s">
        <v>411</v>
      </c>
      <c r="AP48" s="46" t="str">
        <f t="shared" si="1"/>
        <v>Группа потребителей</v>
      </c>
      <c r="AS48" s="4">
        <v>21</v>
      </c>
    </row>
    <row r="49" spans="1:45" ht="21.95" customHeight="1">
      <c r="A49" s="43" t="s">
        <v>185</v>
      </c>
      <c r="B49" s="43" t="s">
        <v>186</v>
      </c>
      <c r="C49" s="43" t="s">
        <v>187</v>
      </c>
      <c r="D49" s="43" t="s">
        <v>188</v>
      </c>
      <c r="E49" s="747"/>
      <c r="F49" s="747"/>
      <c r="G49" s="747"/>
      <c r="H49" s="747"/>
      <c r="I49" s="747"/>
      <c r="J49" s="747"/>
      <c r="K49" s="745" t="str">
        <f>J48&amp;".1"</f>
        <v>....1.1</v>
      </c>
      <c r="L49" s="43" t="s">
        <v>412</v>
      </c>
      <c r="P49" s="748"/>
      <c r="Q49" s="748"/>
      <c r="R49" s="120">
        <v>1</v>
      </c>
      <c r="S49" s="24" t="str">
        <f>$K49</f>
        <v>....1.1</v>
      </c>
      <c r="T49" s="356"/>
      <c r="U49" s="29"/>
      <c r="V49" s="168"/>
      <c r="W49" s="110"/>
      <c r="X49" s="168"/>
      <c r="Y49" s="427"/>
      <c r="Z49" s="749"/>
      <c r="AA49" s="688" t="s">
        <v>66</v>
      </c>
      <c r="AB49" s="749"/>
      <c r="AC49" s="688" t="s">
        <v>66</v>
      </c>
      <c r="AD49" s="168"/>
      <c r="AE49" s="110"/>
      <c r="AF49" s="168"/>
      <c r="AG49" s="427"/>
      <c r="AH49" s="749"/>
      <c r="AI49" s="688" t="s">
        <v>66</v>
      </c>
      <c r="AJ49" s="750"/>
      <c r="AK49" s="688" t="s">
        <v>66</v>
      </c>
      <c r="AL49" s="345"/>
      <c r="AM49" s="762" t="s">
        <v>454</v>
      </c>
      <c r="AN49" s="46" t="e">
        <f ca="1">STRCHECKDATE(V50:AL50)</f>
        <v>#NAME?</v>
      </c>
      <c r="AP49" s="46" t="str">
        <f t="shared" si="1"/>
        <v/>
      </c>
      <c r="AS49" s="4">
        <v>21</v>
      </c>
    </row>
    <row r="50" spans="1:45" ht="1.1499999999999999" customHeight="1">
      <c r="A50" s="43" t="s">
        <v>185</v>
      </c>
      <c r="B50" s="43" t="s">
        <v>186</v>
      </c>
      <c r="C50" s="43" t="s">
        <v>187</v>
      </c>
      <c r="D50" s="43" t="s">
        <v>188</v>
      </c>
      <c r="E50" s="747"/>
      <c r="F50" s="747"/>
      <c r="G50" s="747"/>
      <c r="H50" s="747"/>
      <c r="I50" s="747"/>
      <c r="J50" s="747"/>
      <c r="K50" s="745"/>
      <c r="P50" s="748"/>
      <c r="Q50" s="748"/>
      <c r="R50" s="120"/>
      <c r="S50" s="31"/>
      <c r="T50" s="29"/>
      <c r="U50" s="29"/>
      <c r="V50" s="110"/>
      <c r="W50" s="110"/>
      <c r="X50" s="110"/>
      <c r="Y50" s="111" t="str">
        <f>Z49&amp;"-"&amp;AB49</f>
        <v>-</v>
      </c>
      <c r="Z50" s="707"/>
      <c r="AA50" s="688"/>
      <c r="AB50" s="707"/>
      <c r="AC50" s="688"/>
      <c r="AD50" s="110"/>
      <c r="AE50" s="110"/>
      <c r="AF50" s="110"/>
      <c r="AG50" s="111" t="str">
        <f>AH49&amp;"-"&amp;AJ49</f>
        <v>-</v>
      </c>
      <c r="AH50" s="707"/>
      <c r="AI50" s="688"/>
      <c r="AJ50" s="751"/>
      <c r="AK50" s="688"/>
      <c r="AL50" s="450"/>
      <c r="AM50" s="763"/>
      <c r="AP50" s="46" t="str">
        <f t="shared" si="1"/>
        <v/>
      </c>
      <c r="AS50" s="4">
        <v>1</v>
      </c>
    </row>
    <row r="51" spans="1:45" ht="11.45" customHeight="1">
      <c r="A51" s="43" t="s">
        <v>185</v>
      </c>
      <c r="B51" s="43" t="s">
        <v>186</v>
      </c>
      <c r="C51" s="43" t="s">
        <v>187</v>
      </c>
      <c r="D51" s="43" t="s">
        <v>188</v>
      </c>
      <c r="E51" s="747"/>
      <c r="F51" s="747"/>
      <c r="G51" s="747"/>
      <c r="H51" s="747"/>
      <c r="I51" s="747"/>
      <c r="J51" s="745"/>
      <c r="P51" s="748"/>
      <c r="Q51" s="748"/>
      <c r="R51" s="120"/>
      <c r="S51" s="434"/>
      <c r="T51" s="37" t="s">
        <v>414</v>
      </c>
      <c r="U51" s="58"/>
      <c r="V51" s="58"/>
      <c r="W51" s="58"/>
      <c r="X51" s="58"/>
      <c r="Y51" s="58"/>
      <c r="Z51" s="58"/>
      <c r="AA51" s="58"/>
      <c r="AB51" s="58"/>
      <c r="AC51" s="58"/>
      <c r="AD51" s="58"/>
      <c r="AE51" s="58"/>
      <c r="AF51" s="58"/>
      <c r="AG51" s="58"/>
      <c r="AH51" s="58"/>
      <c r="AI51" s="58"/>
      <c r="AJ51" s="58"/>
      <c r="AK51" s="58"/>
      <c r="AL51" s="59"/>
      <c r="AM51" s="764"/>
      <c r="AP51" s="46" t="str">
        <f t="shared" si="1"/>
        <v>Добавить вид теплоносителя (параметры теплоносителя)</v>
      </c>
      <c r="AS51" s="4">
        <v>11</v>
      </c>
    </row>
    <row r="52" spans="1:45" ht="11.45" customHeight="1">
      <c r="A52" s="43" t="s">
        <v>185</v>
      </c>
      <c r="B52" s="43" t="s">
        <v>186</v>
      </c>
      <c r="C52" s="43" t="s">
        <v>187</v>
      </c>
      <c r="D52" s="43" t="s">
        <v>188</v>
      </c>
      <c r="E52" s="747"/>
      <c r="F52" s="747"/>
      <c r="G52" s="747"/>
      <c r="H52" s="747"/>
      <c r="I52" s="745"/>
      <c r="P52" s="748"/>
      <c r="Q52" s="46"/>
      <c r="R52" s="120"/>
      <c r="S52" s="434"/>
      <c r="T52" s="37" t="s">
        <v>415</v>
      </c>
      <c r="U52" s="58"/>
      <c r="V52" s="58"/>
      <c r="W52" s="58"/>
      <c r="X52" s="58"/>
      <c r="Y52" s="58"/>
      <c r="Z52" s="58"/>
      <c r="AA52" s="58"/>
      <c r="AB52" s="58"/>
      <c r="AC52" s="54"/>
      <c r="AD52" s="58"/>
      <c r="AE52" s="58"/>
      <c r="AF52" s="58"/>
      <c r="AG52" s="58"/>
      <c r="AH52" s="58"/>
      <c r="AI52" s="58"/>
      <c r="AJ52" s="58"/>
      <c r="AK52" s="54"/>
      <c r="AL52" s="58"/>
      <c r="AM52" s="102"/>
      <c r="AP52" s="46" t="str">
        <f t="shared" si="1"/>
        <v>Добавить группу потребителей</v>
      </c>
      <c r="AS52" s="4">
        <v>11</v>
      </c>
    </row>
    <row r="53" spans="1:45" ht="0" hidden="1" customHeight="1">
      <c r="A53" s="43" t="s">
        <v>185</v>
      </c>
      <c r="B53" s="43" t="s">
        <v>186</v>
      </c>
      <c r="C53" s="43" t="s">
        <v>187</v>
      </c>
      <c r="D53" s="43" t="s">
        <v>188</v>
      </c>
      <c r="E53" s="747"/>
      <c r="F53" s="747"/>
      <c r="G53" s="747"/>
      <c r="H53" s="745"/>
      <c r="M53" s="43"/>
      <c r="N53" s="43"/>
      <c r="O53" s="43"/>
      <c r="P53" s="4"/>
      <c r="R53" s="119"/>
      <c r="S53" s="455"/>
      <c r="T53" s="354"/>
      <c r="U53" s="354"/>
      <c r="V53" s="354"/>
      <c r="W53" s="354"/>
      <c r="X53" s="354"/>
      <c r="Y53" s="354"/>
      <c r="Z53" s="354"/>
      <c r="AA53" s="354"/>
      <c r="AB53" s="354"/>
      <c r="AC53" s="354"/>
      <c r="AD53" s="354"/>
      <c r="AE53" s="354"/>
      <c r="AF53" s="354"/>
      <c r="AG53" s="354"/>
      <c r="AH53" s="354"/>
      <c r="AI53" s="354"/>
      <c r="AJ53" s="354"/>
      <c r="AK53" s="354"/>
      <c r="AL53" s="354"/>
      <c r="AM53" s="314"/>
      <c r="AP53" s="46" t="str">
        <f t="shared" si="1"/>
        <v/>
      </c>
      <c r="AS53" s="4">
        <v>0</v>
      </c>
    </row>
    <row r="54" spans="1:45" s="46" customFormat="1" ht="1.1499999999999999" customHeight="1">
      <c r="A54" s="46" t="s">
        <v>185</v>
      </c>
      <c r="B54" s="46" t="s">
        <v>186</v>
      </c>
      <c r="C54" s="46" t="s">
        <v>187</v>
      </c>
      <c r="E54" s="747"/>
      <c r="F54" s="747"/>
      <c r="G54" s="745"/>
      <c r="Q54" s="446"/>
      <c r="S54" s="449"/>
      <c r="T54" s="160" t="s">
        <v>417</v>
      </c>
      <c r="U54" s="160"/>
      <c r="V54" s="160"/>
      <c r="W54" s="160"/>
      <c r="X54" s="160"/>
      <c r="Y54" s="160"/>
      <c r="Z54" s="160"/>
      <c r="AA54" s="160"/>
      <c r="AB54" s="160"/>
      <c r="AC54" s="160"/>
      <c r="AD54" s="160"/>
      <c r="AE54" s="160"/>
      <c r="AF54" s="160"/>
      <c r="AG54" s="160"/>
      <c r="AH54" s="160"/>
      <c r="AI54" s="160"/>
      <c r="AJ54" s="160"/>
      <c r="AK54" s="160"/>
      <c r="AL54" s="160"/>
      <c r="AM54" s="160"/>
      <c r="AP54" s="46" t="str">
        <f t="shared" si="1"/>
        <v>Добавить источник для дифференциации</v>
      </c>
      <c r="AS54" s="46">
        <v>1</v>
      </c>
    </row>
    <row r="55" spans="1:45" s="46" customFormat="1" ht="1.1499999999999999" customHeight="1">
      <c r="A55" s="46" t="s">
        <v>185</v>
      </c>
      <c r="B55" s="46" t="s">
        <v>186</v>
      </c>
      <c r="E55" s="747"/>
      <c r="F55" s="745"/>
      <c r="M55" s="160"/>
      <c r="N55" s="160"/>
      <c r="Q55" s="446"/>
      <c r="S55" s="449"/>
      <c r="T55" s="160" t="s">
        <v>418</v>
      </c>
      <c r="U55" s="160"/>
      <c r="V55" s="160"/>
      <c r="W55" s="160"/>
      <c r="X55" s="160"/>
      <c r="Y55" s="160"/>
      <c r="Z55" s="160"/>
      <c r="AA55" s="160"/>
      <c r="AB55" s="160"/>
      <c r="AC55" s="160"/>
      <c r="AD55" s="160"/>
      <c r="AE55" s="160"/>
      <c r="AF55" s="160"/>
      <c r="AG55" s="160"/>
      <c r="AH55" s="160"/>
      <c r="AI55" s="160"/>
      <c r="AJ55" s="160"/>
      <c r="AK55" s="160"/>
      <c r="AL55" s="160"/>
      <c r="AM55" s="160"/>
      <c r="AP55" s="46" t="str">
        <f t="shared" si="1"/>
        <v>Добавить централизованную систему для дифференциации</v>
      </c>
      <c r="AS55" s="46">
        <v>1</v>
      </c>
    </row>
    <row r="56" spans="1:45" s="46" customFormat="1" ht="1.1499999999999999" customHeight="1">
      <c r="A56" s="46" t="s">
        <v>185</v>
      </c>
      <c r="E56" s="745"/>
      <c r="M56" s="160"/>
      <c r="N56" s="160"/>
      <c r="Q56" s="446"/>
      <c r="S56" s="449"/>
      <c r="T56" s="160" t="s">
        <v>419</v>
      </c>
      <c r="U56" s="160"/>
      <c r="V56" s="160"/>
      <c r="W56" s="160"/>
      <c r="X56" s="160"/>
      <c r="Y56" s="160"/>
      <c r="Z56" s="160"/>
      <c r="AA56" s="160"/>
      <c r="AB56" s="160"/>
      <c r="AC56" s="160"/>
      <c r="AD56" s="160"/>
      <c r="AE56" s="160"/>
      <c r="AF56" s="160"/>
      <c r="AG56" s="160"/>
      <c r="AH56" s="160"/>
      <c r="AI56" s="160"/>
      <c r="AJ56" s="160"/>
      <c r="AK56" s="160"/>
      <c r="AL56" s="160"/>
      <c r="AM56" s="160"/>
      <c r="AP56" s="46" t="str">
        <f t="shared" si="1"/>
        <v>Добавить территорию для дифференциации</v>
      </c>
      <c r="AS56" s="46">
        <v>1</v>
      </c>
    </row>
    <row r="57" spans="1:45" s="46" customFormat="1" ht="1.1499999999999999" customHeight="1">
      <c r="M57" s="160"/>
      <c r="N57" s="160"/>
      <c r="Q57" s="446"/>
      <c r="S57" s="449"/>
      <c r="T57" s="160" t="s">
        <v>451</v>
      </c>
      <c r="U57" s="160"/>
      <c r="V57" s="160"/>
      <c r="W57" s="160"/>
      <c r="X57" s="160"/>
      <c r="Y57" s="160"/>
      <c r="Z57" s="160"/>
      <c r="AA57" s="160"/>
      <c r="AB57" s="160"/>
      <c r="AC57" s="160"/>
      <c r="AD57" s="160"/>
      <c r="AE57" s="160"/>
      <c r="AF57" s="160"/>
      <c r="AG57" s="160"/>
      <c r="AH57" s="160"/>
      <c r="AI57" s="160"/>
      <c r="AJ57" s="160"/>
      <c r="AK57" s="160"/>
      <c r="AL57" s="160"/>
      <c r="AM57" s="160"/>
      <c r="AP57" s="46" t="str">
        <f t="shared" si="1"/>
        <v>Добавить наименование тарифа</v>
      </c>
      <c r="AS57" s="46">
        <v>1</v>
      </c>
    </row>
    <row r="58" spans="1:45" ht="11.45" customHeight="1">
      <c r="M58" s="43"/>
      <c r="N58" s="43"/>
      <c r="O58" s="43"/>
      <c r="P58" s="4"/>
      <c r="Q58" s="4"/>
      <c r="R58" s="4"/>
      <c r="AN58" s="4"/>
      <c r="AO58" s="4"/>
      <c r="AP58" s="4"/>
      <c r="AQ58" s="4"/>
      <c r="AR58" s="4"/>
      <c r="AS58" s="4">
        <v>11</v>
      </c>
    </row>
    <row r="59" spans="1:45" ht="23.25" customHeight="1">
      <c r="O59" s="43"/>
      <c r="T59" s="665"/>
      <c r="U59" s="665"/>
      <c r="V59" s="665"/>
      <c r="W59" s="665"/>
      <c r="X59" s="665"/>
      <c r="Y59" s="665"/>
      <c r="Z59" s="665"/>
      <c r="AA59" s="665"/>
      <c r="AB59" s="665"/>
      <c r="AC59" s="665"/>
      <c r="AD59" s="665"/>
      <c r="AE59" s="665"/>
      <c r="AF59" s="665"/>
      <c r="AG59" s="665"/>
      <c r="AH59" s="665"/>
      <c r="AI59" s="665"/>
      <c r="AJ59" s="665"/>
      <c r="AK59" s="665"/>
      <c r="AL59" s="665"/>
      <c r="AM59" s="665"/>
      <c r="AS59" s="4">
        <v>22</v>
      </c>
    </row>
    <row r="60" spans="1:45" ht="30.4" customHeight="1">
      <c r="O60" s="43"/>
      <c r="T60" s="665"/>
      <c r="U60" s="665"/>
      <c r="V60" s="665"/>
      <c r="W60" s="665"/>
      <c r="X60" s="665"/>
      <c r="Y60" s="665"/>
      <c r="Z60" s="665"/>
      <c r="AA60" s="665"/>
      <c r="AB60" s="665"/>
      <c r="AC60" s="665"/>
      <c r="AD60" s="665"/>
      <c r="AE60" s="665"/>
      <c r="AF60" s="665"/>
      <c r="AG60" s="665"/>
      <c r="AH60" s="665"/>
      <c r="AI60" s="665"/>
      <c r="AJ60" s="665"/>
      <c r="AK60" s="665"/>
      <c r="AL60" s="665"/>
      <c r="AM60" s="665"/>
      <c r="AS60" s="4">
        <v>29</v>
      </c>
    </row>
    <row r="61" spans="1:45" ht="42" customHeight="1">
      <c r="O61" s="43"/>
      <c r="T61" s="665"/>
      <c r="U61" s="665"/>
      <c r="V61" s="665"/>
      <c r="W61" s="665"/>
      <c r="X61" s="665"/>
      <c r="Y61" s="665"/>
      <c r="Z61" s="665"/>
      <c r="AA61" s="665"/>
      <c r="AB61" s="665"/>
      <c r="AC61" s="665"/>
      <c r="AD61" s="665"/>
      <c r="AE61" s="665"/>
      <c r="AF61" s="665"/>
      <c r="AG61" s="665"/>
      <c r="AH61" s="665"/>
      <c r="AI61" s="665"/>
      <c r="AJ61" s="665"/>
      <c r="AK61" s="665"/>
      <c r="AL61" s="665"/>
      <c r="AM61" s="665"/>
      <c r="AS61" s="4">
        <v>40</v>
      </c>
    </row>
    <row r="62" spans="1:45" ht="14.65" customHeight="1">
      <c r="O62" s="43"/>
      <c r="AS62" s="4">
        <v>14</v>
      </c>
    </row>
    <row r="63" spans="1:45" ht="21" customHeight="1">
      <c r="O63" s="43"/>
      <c r="T63" s="682"/>
      <c r="U63" s="665"/>
      <c r="V63" s="665"/>
      <c r="W63" s="665"/>
      <c r="X63" s="665"/>
      <c r="Y63" s="665"/>
      <c r="Z63" s="665"/>
      <c r="AA63" s="665"/>
      <c r="AB63" s="665"/>
      <c r="AC63" s="665"/>
      <c r="AD63" s="665"/>
      <c r="AE63" s="665"/>
      <c r="AF63" s="665"/>
      <c r="AG63" s="665"/>
      <c r="AH63" s="665"/>
      <c r="AI63" s="665"/>
      <c r="AJ63" s="665"/>
      <c r="AK63" s="665"/>
      <c r="AL63" s="665"/>
      <c r="AM63" s="665"/>
      <c r="AS63" s="4">
        <v>20</v>
      </c>
    </row>
    <row r="64" spans="1:45" ht="29.25" customHeight="1">
      <c r="O64" s="43"/>
      <c r="T64" s="665"/>
      <c r="U64" s="665"/>
      <c r="V64" s="665"/>
      <c r="W64" s="665"/>
      <c r="X64" s="665"/>
      <c r="Y64" s="665"/>
      <c r="Z64" s="665"/>
      <c r="AA64" s="665"/>
      <c r="AB64" s="665"/>
      <c r="AC64" s="665"/>
      <c r="AD64" s="665"/>
      <c r="AE64" s="665"/>
      <c r="AF64" s="665"/>
      <c r="AG64" s="665"/>
      <c r="AH64" s="665"/>
      <c r="AI64" s="665"/>
      <c r="AJ64" s="665"/>
      <c r="AK64" s="665"/>
      <c r="AL64" s="665"/>
      <c r="AM64" s="665"/>
      <c r="AS64" s="4">
        <v>28</v>
      </c>
    </row>
    <row r="65" spans="1:45" ht="35.65" customHeight="1">
      <c r="T65" s="665"/>
      <c r="U65" s="665"/>
      <c r="V65" s="665"/>
      <c r="W65" s="665"/>
      <c r="X65" s="665"/>
      <c r="Y65" s="665"/>
      <c r="Z65" s="665"/>
      <c r="AA65" s="665"/>
      <c r="AB65" s="665"/>
      <c r="AC65" s="665"/>
      <c r="AD65" s="665"/>
      <c r="AE65" s="665"/>
      <c r="AF65" s="665"/>
      <c r="AG65" s="665"/>
      <c r="AH65" s="665"/>
      <c r="AI65" s="665"/>
      <c r="AJ65" s="665"/>
      <c r="AK65" s="665"/>
      <c r="AL65" s="665"/>
      <c r="AM65" s="665"/>
      <c r="AS65" s="4">
        <v>34</v>
      </c>
    </row>
    <row r="66" spans="1:45" ht="22.5" hidden="1" customHeight="1">
      <c r="A66" s="43" t="s">
        <v>82</v>
      </c>
      <c r="B66" s="43">
        <v>0</v>
      </c>
      <c r="C66" s="43">
        <v>0</v>
      </c>
      <c r="D66" s="43">
        <v>0</v>
      </c>
      <c r="E66" s="43">
        <v>0</v>
      </c>
      <c r="F66" s="43">
        <v>0</v>
      </c>
      <c r="G66" s="43">
        <v>0</v>
      </c>
      <c r="H66" s="43">
        <v>0</v>
      </c>
      <c r="I66" s="43">
        <v>0</v>
      </c>
      <c r="J66" s="43">
        <v>0</v>
      </c>
      <c r="K66" s="43">
        <v>0</v>
      </c>
      <c r="L66" s="43">
        <v>0</v>
      </c>
      <c r="M66" s="167">
        <v>0</v>
      </c>
      <c r="N66" s="167">
        <v>0</v>
      </c>
      <c r="O66" s="167">
        <v>0</v>
      </c>
      <c r="P66" s="23">
        <v>0</v>
      </c>
      <c r="Q66" s="20">
        <v>3</v>
      </c>
      <c r="R66" s="20">
        <v>3</v>
      </c>
      <c r="S66" s="4">
        <v>12</v>
      </c>
      <c r="T66" s="4">
        <v>31</v>
      </c>
      <c r="U66" s="4">
        <v>0</v>
      </c>
      <c r="V66" s="4">
        <v>0</v>
      </c>
      <c r="W66" s="4">
        <v>0</v>
      </c>
      <c r="X66" s="4">
        <v>0</v>
      </c>
      <c r="Y66" s="4">
        <v>0</v>
      </c>
      <c r="Z66" s="4">
        <v>0</v>
      </c>
      <c r="AA66" s="4">
        <v>0</v>
      </c>
      <c r="AB66" s="4">
        <v>0</v>
      </c>
      <c r="AC66" s="4">
        <v>0</v>
      </c>
      <c r="AD66" s="4">
        <v>24</v>
      </c>
      <c r="AE66" s="4">
        <v>0</v>
      </c>
      <c r="AF66" s="4">
        <v>24</v>
      </c>
      <c r="AG66" s="4">
        <v>24</v>
      </c>
      <c r="AH66" s="4">
        <v>11</v>
      </c>
      <c r="AI66" s="4">
        <v>3</v>
      </c>
      <c r="AJ66" s="4">
        <v>11</v>
      </c>
      <c r="AK66" s="4">
        <v>0</v>
      </c>
      <c r="AL66" s="4">
        <v>4</v>
      </c>
      <c r="AM66" s="4">
        <v>115</v>
      </c>
      <c r="AN66" s="46">
        <v>10</v>
      </c>
      <c r="AO66" s="46">
        <v>10</v>
      </c>
      <c r="AP66" s="46">
        <v>10</v>
      </c>
      <c r="AQ66" s="46">
        <v>10</v>
      </c>
      <c r="AR66" s="46">
        <v>10</v>
      </c>
      <c r="AS66" s="4">
        <v>23</v>
      </c>
    </row>
  </sheetData>
  <sheetProtection formatColumns="0" formatRows="0" insertRows="0" deleteColumns="0" deleteRows="0" sort="0" autoFilter="0"/>
  <mergeCells count="113">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30:T30"/>
    <mergeCell ref="V30:AB30"/>
    <mergeCell ref="AD30:AJ30"/>
    <mergeCell ref="S31:T31"/>
    <mergeCell ref="V31:AB31"/>
    <mergeCell ref="AD31:AJ31"/>
    <mergeCell ref="S26:AJ26"/>
    <mergeCell ref="S27:AJ27"/>
    <mergeCell ref="S29:T29"/>
    <mergeCell ref="V29:AB29"/>
    <mergeCell ref="AD29:AJ29"/>
    <mergeCell ref="S32:T32"/>
    <mergeCell ref="V32:AB32"/>
    <mergeCell ref="AD32:AJ32"/>
    <mergeCell ref="V37:AC37"/>
    <mergeCell ref="AD37:AK37"/>
    <mergeCell ref="S34:T34"/>
    <mergeCell ref="V34:AB34"/>
    <mergeCell ref="AD34:AJ34"/>
    <mergeCell ref="S35:T35"/>
    <mergeCell ref="V35:AB35"/>
    <mergeCell ref="AD35:AJ35"/>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xr:uid="{00000000-0002-0000-1000-00000000000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xr:uid="{00000000-0002-0000-1000-00000100000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xr:uid="{00000000-0002-0000-1000-000002000000}"/>
    <dataValidation type="list" allowBlank="1" showInputMessage="1" showErrorMessage="1" errorTitle="Ошибка" error="Выберите значение из списка" sqref="T65585 T131121 T196657 T262193 T327729 T393265 T458801 T524337 T589873 T655409 T720945 T786481 T852017 T917553 T983089" xr:uid="{00000000-0002-0000-1000-000003000000}">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xr:uid="{00000000-0002-0000-1000-00000400000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xr:uid="{00000000-0002-0000-1000-000005000000}">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xr:uid="{00000000-0002-0000-1000-000006000000}">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xr:uid="{00000000-0002-0000-1000-00000700000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63713B-A8A1-0A22-B55A-DA7D80A6083D}">
  <sheetPr>
    <tabColor theme="6" tint="0.39997558519241921"/>
  </sheetPr>
  <dimension ref="A1:AS66"/>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43" hidden="1"/>
    <col min="2" max="2" width="11" style="43" hidden="1" customWidth="1"/>
    <col min="3" max="3" width="10.5703125" style="43" hidden="1"/>
    <col min="4" max="4" width="11.85546875" style="43" hidden="1" customWidth="1"/>
    <col min="5" max="5" width="10" style="43" hidden="1" customWidth="1"/>
    <col min="6" max="6" width="8.7109375" style="43" hidden="1" customWidth="1"/>
    <col min="7" max="7" width="7.5703125" style="43" hidden="1" customWidth="1"/>
    <col min="8" max="8" width="11.42578125" style="43" hidden="1" customWidth="1"/>
    <col min="9" max="9" width="12" style="43" hidden="1" customWidth="1"/>
    <col min="10" max="10" width="9.85546875" style="43" hidden="1" customWidth="1"/>
    <col min="11" max="11" width="11.42578125" style="43" hidden="1" customWidth="1"/>
    <col min="12" max="12" width="19.140625" style="43" hidden="1" customWidth="1"/>
    <col min="13" max="14" width="12.28515625" style="167" hidden="1" customWidth="1"/>
    <col min="15" max="15" width="23.42578125" style="167" hidden="1" customWidth="1"/>
    <col min="16" max="16" width="3.7109375" style="23" hidden="1" customWidth="1"/>
    <col min="17" max="18" width="3" style="20" customWidth="1"/>
    <col min="19" max="19" width="12" style="4" customWidth="1"/>
    <col min="20" max="20" width="31" style="4" customWidth="1"/>
    <col min="21" max="21" width="0.140625" style="4" customWidth="1"/>
    <col min="22" max="22" width="24.7109375" style="4" hidden="1" customWidth="1"/>
    <col min="23" max="23" width="0.140625" style="4" hidden="1" customWidth="1"/>
    <col min="24" max="25" width="24.7109375" style="4" hidden="1" customWidth="1"/>
    <col min="26" max="26" width="11.7109375" style="4" hidden="1" customWidth="1"/>
    <col min="27" max="27" width="3.7109375" style="4" hidden="1" customWidth="1"/>
    <col min="28" max="28" width="11.7109375" style="4" hidden="1" customWidth="1"/>
    <col min="29" max="29" width="8.5703125" style="4" hidden="1" customWidth="1"/>
    <col min="30" max="30" width="24.7109375" style="4" customWidth="1"/>
    <col min="31" max="31" width="0.140625" style="4" customWidth="1"/>
    <col min="32" max="33" width="24" style="4" customWidth="1"/>
    <col min="34" max="34" width="11" style="4" customWidth="1"/>
    <col min="35" max="35" width="3.7109375" style="4" customWidth="1"/>
    <col min="36" max="36" width="11" style="4" customWidth="1"/>
    <col min="37" max="37" width="8.5703125" style="4" hidden="1" customWidth="1"/>
    <col min="38" max="38" width="4" style="4" customWidth="1"/>
    <col min="39" max="39" width="115" style="4" customWidth="1"/>
    <col min="40" max="44" width="10" style="46" customWidth="1"/>
    <col min="45" max="45" width="10.5703125" style="4" hidden="1"/>
  </cols>
  <sheetData>
    <row r="1" spans="5:45" ht="22.5" hidden="1" customHeight="1">
      <c r="AS1" s="4" t="s">
        <v>14</v>
      </c>
    </row>
    <row r="2" spans="5:45" ht="21" hidden="1" customHeight="1">
      <c r="E2" s="745">
        <v>1</v>
      </c>
      <c r="M2" s="43"/>
      <c r="N2" s="43"/>
      <c r="O2" s="43"/>
      <c r="Q2" s="4"/>
      <c r="R2" s="119"/>
      <c r="S2" s="24" t="e">
        <f>INDEX(PT_DIFFERENTIATION_NUM_NTAR,MATCH(A2,PT_DIFFERENTIATION_NTAR_ID,0))</f>
        <v>#N/A</v>
      </c>
      <c r="T2" s="29" t="s">
        <v>128</v>
      </c>
      <c r="U2" s="29"/>
      <c r="V2" s="742"/>
      <c r="W2" s="743"/>
      <c r="X2" s="743"/>
      <c r="Y2" s="743"/>
      <c r="Z2" s="743"/>
      <c r="AA2" s="743"/>
      <c r="AB2" s="743"/>
      <c r="AC2" s="744"/>
      <c r="AD2" s="742" t="e">
        <f>INDEX(PT_DIFFERENTIATION_NTAR,MATCH(A2,PT_DIFFERENTIATION_NTAR_ID,0))</f>
        <v>#N/A</v>
      </c>
      <c r="AE2" s="743"/>
      <c r="AF2" s="743"/>
      <c r="AG2" s="743"/>
      <c r="AH2" s="743"/>
      <c r="AI2" s="743"/>
      <c r="AJ2" s="743"/>
      <c r="AK2" s="743"/>
      <c r="AL2" s="744"/>
      <c r="AM2" s="428" t="s">
        <v>399</v>
      </c>
      <c r="AP2" s="46" t="str">
        <f t="shared" ref="AP2:AP15" si="0">IF(T2="","",T2)</f>
        <v>Наименование тарифа</v>
      </c>
      <c r="AS2" s="4">
        <v>0</v>
      </c>
    </row>
    <row r="3" spans="5:45" ht="21" hidden="1" customHeight="1">
      <c r="E3" s="747"/>
      <c r="F3" s="745">
        <v>1</v>
      </c>
      <c r="M3" s="43"/>
      <c r="N3" s="43"/>
      <c r="O3" s="43"/>
      <c r="P3" s="4"/>
      <c r="Q3" s="118"/>
      <c r="R3" s="119"/>
      <c r="S3" s="24" t="e">
        <f>INDEX(PT_DIFFERENTIATION_NUM_TER,MATCH(B3,PT_DIFFERENTIATION_TER_ID,0))</f>
        <v>#N/A</v>
      </c>
      <c r="T3" s="24" t="s">
        <v>400</v>
      </c>
      <c r="U3" s="29"/>
      <c r="V3" s="742"/>
      <c r="W3" s="743"/>
      <c r="X3" s="743"/>
      <c r="Y3" s="743"/>
      <c r="Z3" s="743"/>
      <c r="AA3" s="743"/>
      <c r="AB3" s="743"/>
      <c r="AC3" s="744"/>
      <c r="AD3" s="742" t="e">
        <f>INDEX(PT_DIFFERENTIATION_TER,MATCH(B3,PT_DIFFERENTIATION_TER_ID,0))</f>
        <v>#N/A</v>
      </c>
      <c r="AE3" s="743"/>
      <c r="AF3" s="743"/>
      <c r="AG3" s="743"/>
      <c r="AH3" s="743"/>
      <c r="AI3" s="743"/>
      <c r="AJ3" s="743"/>
      <c r="AK3" s="743"/>
      <c r="AL3" s="744"/>
      <c r="AM3" s="428" t="s">
        <v>401</v>
      </c>
      <c r="AP3" s="46" t="str">
        <f t="shared" si="0"/>
        <v>Территория действия тарифа</v>
      </c>
      <c r="AS3" s="4">
        <v>0</v>
      </c>
    </row>
    <row r="4" spans="5:45" ht="23.25" hidden="1" customHeight="1">
      <c r="E4" s="747"/>
      <c r="F4" s="747"/>
      <c r="G4" s="745">
        <v>1</v>
      </c>
      <c r="M4" s="43"/>
      <c r="N4" s="43"/>
      <c r="O4" s="43"/>
      <c r="P4" s="16"/>
      <c r="Q4" s="118"/>
      <c r="R4" s="119"/>
      <c r="S4" s="24" t="e">
        <f>INDEX(PT_DIFFERENTIATION_NUM_CS,MATCH(C4,PT_DIFFERENTIATION_CS_ID,0))</f>
        <v>#N/A</v>
      </c>
      <c r="T4" s="24" t="s">
        <v>402</v>
      </c>
      <c r="U4" s="29"/>
      <c r="V4" s="742"/>
      <c r="W4" s="743"/>
      <c r="X4" s="743"/>
      <c r="Y4" s="743"/>
      <c r="Z4" s="743"/>
      <c r="AA4" s="743"/>
      <c r="AB4" s="743"/>
      <c r="AC4" s="744"/>
      <c r="AD4" s="742" t="e">
        <f>INDEX(PT_DIFFERENTIATION_CS,MATCH(C4,PT_DIFFERENTIATION_CS_ID,0))</f>
        <v>#N/A</v>
      </c>
      <c r="AE4" s="743"/>
      <c r="AF4" s="743"/>
      <c r="AG4" s="743"/>
      <c r="AH4" s="743"/>
      <c r="AI4" s="743"/>
      <c r="AJ4" s="743"/>
      <c r="AK4" s="743"/>
      <c r="AL4" s="744"/>
      <c r="AM4" s="428" t="s">
        <v>403</v>
      </c>
      <c r="AP4" s="46" t="str">
        <f t="shared" si="0"/>
        <v xml:space="preserve">Наименование системы теплоснабжения </v>
      </c>
      <c r="AS4" s="4">
        <v>0</v>
      </c>
    </row>
    <row r="5" spans="5:45" ht="21" hidden="1" customHeight="1">
      <c r="E5" s="747"/>
      <c r="F5" s="747"/>
      <c r="G5" s="747"/>
      <c r="H5" s="745">
        <v>1</v>
      </c>
      <c r="M5" s="43"/>
      <c r="N5" s="43"/>
      <c r="O5" s="43"/>
      <c r="P5" s="16"/>
      <c r="Q5" s="118"/>
      <c r="R5" s="119"/>
      <c r="S5" s="24" t="e">
        <f>INDEX(PT_DIFFERENTIATION_NUM_IST_TE,MATCH(D5,PT_DIFFERENTIATION_IST_TE_ID,0))</f>
        <v>#N/A</v>
      </c>
      <c r="T5" s="24" t="s">
        <v>404</v>
      </c>
      <c r="U5" s="29"/>
      <c r="V5" s="742"/>
      <c r="W5" s="743"/>
      <c r="X5" s="743"/>
      <c r="Y5" s="743"/>
      <c r="Z5" s="743"/>
      <c r="AA5" s="743"/>
      <c r="AB5" s="743"/>
      <c r="AC5" s="744"/>
      <c r="AD5" s="742" t="e">
        <f>INDEX(PT_DIFFERENTIATION_IST_TE,MATCH(D5,PT_DIFFERENTIATION_IST_TE_ID,0))</f>
        <v>#N/A</v>
      </c>
      <c r="AE5" s="743"/>
      <c r="AF5" s="743"/>
      <c r="AG5" s="743"/>
      <c r="AH5" s="743"/>
      <c r="AI5" s="743"/>
      <c r="AJ5" s="743"/>
      <c r="AK5" s="743"/>
      <c r="AL5" s="744"/>
      <c r="AM5" s="428" t="s">
        <v>405</v>
      </c>
      <c r="AP5" s="46" t="str">
        <f t="shared" si="0"/>
        <v xml:space="preserve">Источник тепловой энергии  </v>
      </c>
      <c r="AS5" s="4">
        <v>0</v>
      </c>
    </row>
    <row r="6" spans="5:45" ht="14.25" hidden="1" customHeight="1">
      <c r="E6" s="747"/>
      <c r="F6" s="747"/>
      <c r="G6" s="747"/>
      <c r="H6" s="747"/>
      <c r="I6" s="745" t="e">
        <f>S5&amp;".1"</f>
        <v>#N/A</v>
      </c>
      <c r="L6" s="43" t="s">
        <v>406</v>
      </c>
      <c r="M6" s="43"/>
      <c r="P6" s="748">
        <v>1</v>
      </c>
      <c r="Q6" s="46"/>
      <c r="R6" s="120"/>
      <c r="S6" s="174"/>
      <c r="T6" s="174"/>
      <c r="U6" s="174"/>
      <c r="V6" s="768"/>
      <c r="W6" s="769"/>
      <c r="X6" s="769"/>
      <c r="Y6" s="769"/>
      <c r="Z6" s="769"/>
      <c r="AA6" s="769"/>
      <c r="AB6" s="769"/>
      <c r="AC6" s="770"/>
      <c r="AD6" s="768"/>
      <c r="AE6" s="769"/>
      <c r="AF6" s="769"/>
      <c r="AG6" s="769"/>
      <c r="AH6" s="769"/>
      <c r="AI6" s="769"/>
      <c r="AJ6" s="769"/>
      <c r="AK6" s="769"/>
      <c r="AL6" s="770"/>
      <c r="AM6" s="174"/>
      <c r="AP6" s="46" t="str">
        <f t="shared" si="0"/>
        <v/>
      </c>
      <c r="AS6" s="4">
        <v>0</v>
      </c>
    </row>
    <row r="7" spans="5:45" ht="21" hidden="1" customHeight="1">
      <c r="E7" s="747"/>
      <c r="F7" s="747"/>
      <c r="G7" s="747"/>
      <c r="H7" s="747"/>
      <c r="I7" s="747"/>
      <c r="J7" s="745" t="e">
        <f>I6&amp;".1"</f>
        <v>#N/A</v>
      </c>
      <c r="L7" s="43" t="s">
        <v>409</v>
      </c>
      <c r="M7" s="43"/>
      <c r="N7" s="43"/>
      <c r="P7" s="748"/>
      <c r="Q7" s="748">
        <v>1</v>
      </c>
      <c r="R7" s="120"/>
      <c r="S7" s="24" t="e">
        <f>$J7</f>
        <v>#N/A</v>
      </c>
      <c r="T7" s="24" t="s">
        <v>410</v>
      </c>
      <c r="U7" s="29"/>
      <c r="V7" s="737"/>
      <c r="W7" s="738"/>
      <c r="X7" s="738"/>
      <c r="Y7" s="738"/>
      <c r="Z7" s="738"/>
      <c r="AA7" s="738"/>
      <c r="AB7" s="738"/>
      <c r="AC7" s="739"/>
      <c r="AD7" s="737"/>
      <c r="AE7" s="738"/>
      <c r="AF7" s="738"/>
      <c r="AG7" s="738"/>
      <c r="AH7" s="738"/>
      <c r="AI7" s="738"/>
      <c r="AJ7" s="738"/>
      <c r="AK7" s="738"/>
      <c r="AL7" s="739"/>
      <c r="AM7" s="428" t="s">
        <v>411</v>
      </c>
      <c r="AP7" s="46" t="str">
        <f t="shared" si="0"/>
        <v>Группа потребителей</v>
      </c>
      <c r="AS7" s="4">
        <v>0</v>
      </c>
    </row>
    <row r="8" spans="5:45" ht="21" hidden="1" customHeight="1">
      <c r="E8" s="747"/>
      <c r="F8" s="747"/>
      <c r="G8" s="747"/>
      <c r="H8" s="747"/>
      <c r="I8" s="747"/>
      <c r="J8" s="747"/>
      <c r="K8" s="745" t="e">
        <f>J7&amp;".1"</f>
        <v>#N/A</v>
      </c>
      <c r="L8" s="43" t="s">
        <v>412</v>
      </c>
      <c r="M8" s="43"/>
      <c r="N8" s="43"/>
      <c r="O8" s="43"/>
      <c r="P8" s="748"/>
      <c r="Q8" s="748"/>
      <c r="R8" s="120">
        <v>1</v>
      </c>
      <c r="S8" s="24" t="e">
        <f>$K8</f>
        <v>#N/A</v>
      </c>
      <c r="T8" s="356"/>
      <c r="U8" s="29"/>
      <c r="V8" s="168"/>
      <c r="W8" s="110"/>
      <c r="X8" s="168"/>
      <c r="Y8" s="427"/>
      <c r="Z8" s="749"/>
      <c r="AA8" s="688" t="s">
        <v>66</v>
      </c>
      <c r="AB8" s="749"/>
      <c r="AC8" s="688" t="s">
        <v>66</v>
      </c>
      <c r="AD8" s="168"/>
      <c r="AE8" s="110"/>
      <c r="AF8" s="168"/>
      <c r="AG8" s="427"/>
      <c r="AH8" s="749"/>
      <c r="AI8" s="688" t="s">
        <v>66</v>
      </c>
      <c r="AJ8" s="749"/>
      <c r="AK8" s="688" t="s">
        <v>66</v>
      </c>
      <c r="AL8" s="110"/>
      <c r="AM8" s="762" t="s">
        <v>413</v>
      </c>
      <c r="AN8" s="46" t="e">
        <f ca="1">STRCHECKDATE(V9:AL9)</f>
        <v>#NAME?</v>
      </c>
      <c r="AP8" s="46" t="str">
        <f t="shared" si="0"/>
        <v/>
      </c>
      <c r="AS8" s="4">
        <v>0</v>
      </c>
    </row>
    <row r="9" spans="5:45" ht="14.25" hidden="1" customHeight="1">
      <c r="E9" s="747"/>
      <c r="F9" s="747"/>
      <c r="G9" s="747"/>
      <c r="H9" s="747"/>
      <c r="I9" s="747"/>
      <c r="J9" s="747"/>
      <c r="K9" s="745"/>
      <c r="M9" s="43"/>
      <c r="N9" s="43"/>
      <c r="O9" s="43"/>
      <c r="P9" s="748"/>
      <c r="Q9" s="748"/>
      <c r="R9" s="120"/>
      <c r="S9" s="31"/>
      <c r="T9" s="29"/>
      <c r="U9" s="29"/>
      <c r="V9" s="110"/>
      <c r="W9" s="110"/>
      <c r="X9" s="110"/>
      <c r="Y9" s="111" t="str">
        <f>Z8&amp;"-"&amp;AB8</f>
        <v>-</v>
      </c>
      <c r="Z9" s="707"/>
      <c r="AA9" s="688"/>
      <c r="AB9" s="707"/>
      <c r="AC9" s="688"/>
      <c r="AD9" s="110"/>
      <c r="AE9" s="110"/>
      <c r="AF9" s="110"/>
      <c r="AG9" s="111" t="str">
        <f>AH8&amp;"-"&amp;AJ8</f>
        <v>-</v>
      </c>
      <c r="AH9" s="707"/>
      <c r="AI9" s="688"/>
      <c r="AJ9" s="707"/>
      <c r="AK9" s="688"/>
      <c r="AL9" s="110"/>
      <c r="AM9" s="763"/>
      <c r="AP9" s="46" t="str">
        <f t="shared" si="0"/>
        <v/>
      </c>
      <c r="AS9" s="4">
        <v>0</v>
      </c>
    </row>
    <row r="10" spans="5:45" ht="15" hidden="1" customHeight="1">
      <c r="E10" s="747"/>
      <c r="F10" s="747"/>
      <c r="G10" s="747"/>
      <c r="H10" s="747"/>
      <c r="I10" s="747"/>
      <c r="J10" s="745"/>
      <c r="M10" s="43"/>
      <c r="N10" s="43"/>
      <c r="P10" s="748"/>
      <c r="Q10" s="748"/>
      <c r="R10" s="120"/>
      <c r="S10" s="434"/>
      <c r="T10" s="37" t="s">
        <v>414</v>
      </c>
      <c r="U10" s="58"/>
      <c r="V10" s="58"/>
      <c r="W10" s="58"/>
      <c r="X10" s="58"/>
      <c r="Y10" s="58"/>
      <c r="Z10" s="58"/>
      <c r="AA10" s="58"/>
      <c r="AB10" s="58"/>
      <c r="AC10" s="58"/>
      <c r="AD10" s="58"/>
      <c r="AE10" s="58"/>
      <c r="AF10" s="58"/>
      <c r="AG10" s="58"/>
      <c r="AH10" s="58"/>
      <c r="AI10" s="58"/>
      <c r="AJ10" s="58"/>
      <c r="AK10" s="58"/>
      <c r="AL10" s="59"/>
      <c r="AM10" s="764"/>
      <c r="AP10" s="46" t="str">
        <f t="shared" si="0"/>
        <v>Добавить вид теплоносителя (параметры теплоносителя)</v>
      </c>
      <c r="AS10" s="4">
        <v>0</v>
      </c>
    </row>
    <row r="11" spans="5:45" ht="11.25" hidden="1" customHeight="1">
      <c r="E11" s="747"/>
      <c r="F11" s="747"/>
      <c r="G11" s="747"/>
      <c r="H11" s="747"/>
      <c r="I11" s="745"/>
      <c r="M11" s="43"/>
      <c r="P11" s="748"/>
      <c r="Q11" s="46"/>
      <c r="R11" s="120"/>
      <c r="S11" s="434"/>
      <c r="T11" s="37" t="s">
        <v>415</v>
      </c>
      <c r="U11" s="58"/>
      <c r="V11" s="58"/>
      <c r="W11" s="58"/>
      <c r="X11" s="58"/>
      <c r="Y11" s="58"/>
      <c r="Z11" s="58"/>
      <c r="AA11" s="58"/>
      <c r="AB11" s="58"/>
      <c r="AC11" s="54"/>
      <c r="AD11" s="58"/>
      <c r="AE11" s="58"/>
      <c r="AF11" s="58"/>
      <c r="AG11" s="58"/>
      <c r="AH11" s="58"/>
      <c r="AI11" s="58"/>
      <c r="AJ11" s="58"/>
      <c r="AK11" s="54"/>
      <c r="AL11" s="58"/>
      <c r="AM11" s="102"/>
      <c r="AP11" s="46" t="str">
        <f t="shared" si="0"/>
        <v>Добавить группу потребителей</v>
      </c>
      <c r="AS11" s="4">
        <v>0</v>
      </c>
    </row>
    <row r="12" spans="5:45" ht="14.25" hidden="1" customHeight="1">
      <c r="E12" s="747"/>
      <c r="F12" s="747"/>
      <c r="G12" s="747"/>
      <c r="H12" s="745"/>
      <c r="M12" s="43"/>
      <c r="N12" s="43"/>
      <c r="O12" s="43"/>
      <c r="P12" s="4"/>
      <c r="R12" s="119"/>
      <c r="S12" s="455"/>
      <c r="T12" s="354"/>
      <c r="U12" s="354"/>
      <c r="V12" s="354"/>
      <c r="W12" s="354"/>
      <c r="X12" s="354"/>
      <c r="Y12" s="354"/>
      <c r="Z12" s="354"/>
      <c r="AA12" s="354"/>
      <c r="AB12" s="354"/>
      <c r="AC12" s="354"/>
      <c r="AD12" s="354"/>
      <c r="AE12" s="354"/>
      <c r="AF12" s="354"/>
      <c r="AG12" s="354"/>
      <c r="AH12" s="354"/>
      <c r="AI12" s="354"/>
      <c r="AJ12" s="354"/>
      <c r="AK12" s="354"/>
      <c r="AL12" s="354"/>
      <c r="AM12" s="314"/>
      <c r="AP12" s="46" t="str">
        <f t="shared" si="0"/>
        <v/>
      </c>
      <c r="AS12" s="4">
        <v>0</v>
      </c>
    </row>
    <row r="13" spans="5:45" s="46" customFormat="1" ht="14.25" hidden="1" customHeight="1">
      <c r="E13" s="747"/>
      <c r="F13" s="747"/>
      <c r="G13" s="745"/>
      <c r="Q13" s="446"/>
      <c r="S13" s="447"/>
      <c r="T13" s="448" t="s">
        <v>417</v>
      </c>
      <c r="U13" s="448"/>
      <c r="V13" s="448"/>
      <c r="W13" s="448"/>
      <c r="X13" s="448"/>
      <c r="Y13" s="448"/>
      <c r="Z13" s="448"/>
      <c r="AA13" s="448"/>
      <c r="AB13" s="448"/>
      <c r="AC13" s="448"/>
      <c r="AD13" s="448"/>
      <c r="AE13" s="448"/>
      <c r="AF13" s="448"/>
      <c r="AG13" s="448"/>
      <c r="AH13" s="448"/>
      <c r="AI13" s="448"/>
      <c r="AJ13" s="448"/>
      <c r="AK13" s="448"/>
      <c r="AL13" s="448"/>
      <c r="AM13" s="448"/>
      <c r="AP13" s="46" t="str">
        <f t="shared" si="0"/>
        <v>Добавить источник для дифференциации</v>
      </c>
      <c r="AS13" s="46">
        <v>0</v>
      </c>
    </row>
    <row r="14" spans="5:45" s="46" customFormat="1" ht="14.25" hidden="1" customHeight="1">
      <c r="E14" s="747"/>
      <c r="F14" s="745"/>
      <c r="M14" s="160"/>
      <c r="N14" s="160"/>
      <c r="Q14" s="446"/>
      <c r="S14" s="449"/>
      <c r="T14" s="160" t="s">
        <v>418</v>
      </c>
      <c r="U14" s="160"/>
      <c r="V14" s="160"/>
      <c r="W14" s="160"/>
      <c r="X14" s="160"/>
      <c r="Y14" s="160"/>
      <c r="Z14" s="160"/>
      <c r="AA14" s="160"/>
      <c r="AB14" s="160"/>
      <c r="AC14" s="160"/>
      <c r="AD14" s="160"/>
      <c r="AE14" s="160"/>
      <c r="AF14" s="160"/>
      <c r="AG14" s="160"/>
      <c r="AH14" s="160"/>
      <c r="AI14" s="160"/>
      <c r="AJ14" s="160"/>
      <c r="AK14" s="160"/>
      <c r="AL14" s="160"/>
      <c r="AM14" s="160"/>
      <c r="AP14" s="46" t="str">
        <f t="shared" si="0"/>
        <v>Добавить централизованную систему для дифференциации</v>
      </c>
      <c r="AS14" s="46">
        <v>0</v>
      </c>
    </row>
    <row r="15" spans="5:45" s="46" customFormat="1" ht="14.25" hidden="1" customHeight="1">
      <c r="E15" s="745"/>
      <c r="M15" s="160"/>
      <c r="N15" s="160"/>
      <c r="Q15" s="446"/>
      <c r="S15" s="449"/>
      <c r="T15" s="160" t="s">
        <v>419</v>
      </c>
      <c r="U15" s="160"/>
      <c r="V15" s="160"/>
      <c r="W15" s="160"/>
      <c r="X15" s="160"/>
      <c r="Y15" s="160"/>
      <c r="Z15" s="160"/>
      <c r="AA15" s="160"/>
      <c r="AB15" s="160"/>
      <c r="AC15" s="160"/>
      <c r="AD15" s="160"/>
      <c r="AE15" s="160"/>
      <c r="AF15" s="160"/>
      <c r="AG15" s="160"/>
      <c r="AH15" s="160"/>
      <c r="AI15" s="160"/>
      <c r="AJ15" s="160"/>
      <c r="AK15" s="160"/>
      <c r="AL15" s="160"/>
      <c r="AM15" s="160"/>
      <c r="AP15" s="46" t="str">
        <f t="shared" si="0"/>
        <v>Добавить территорию для дифференциации</v>
      </c>
      <c r="AS15" s="46">
        <v>0</v>
      </c>
    </row>
    <row r="16" spans="5:45" ht="14.25" hidden="1" customHeight="1">
      <c r="AS16" s="4">
        <v>0</v>
      </c>
    </row>
    <row r="17" spans="1:45" ht="14.25" hidden="1" customHeight="1">
      <c r="AD17" s="205"/>
      <c r="AE17" s="205"/>
      <c r="AF17" s="205"/>
      <c r="AG17" s="451"/>
      <c r="AH17" s="746"/>
      <c r="AI17" s="745" t="s">
        <v>66</v>
      </c>
      <c r="AJ17" s="746"/>
      <c r="AK17" s="745" t="s">
        <v>66</v>
      </c>
      <c r="AS17" s="4">
        <v>0</v>
      </c>
    </row>
    <row r="18" spans="1:45" ht="14.25" hidden="1" customHeight="1">
      <c r="AD18" s="205"/>
      <c r="AE18" s="205"/>
      <c r="AF18" s="205"/>
      <c r="AG18" s="111" t="str">
        <f>AH17&amp;"-"&amp;AJ17</f>
        <v>-</v>
      </c>
      <c r="AH18" s="745"/>
      <c r="AI18" s="745"/>
      <c r="AJ18" s="745"/>
      <c r="AK18" s="745"/>
      <c r="AS18" s="4">
        <v>0</v>
      </c>
    </row>
    <row r="19" spans="1:45" ht="14.25" hidden="1" customHeight="1">
      <c r="AS19" s="4">
        <v>0</v>
      </c>
    </row>
    <row r="20" spans="1:45" s="43" customFormat="1" ht="22.5" hidden="1" customHeight="1">
      <c r="M20" s="167"/>
      <c r="N20" s="167"/>
      <c r="O20" s="261" t="s">
        <v>420</v>
      </c>
      <c r="P20" s="167"/>
      <c r="Q20" s="452"/>
      <c r="R20" s="452"/>
      <c r="Z20" s="261"/>
      <c r="AB20" s="261"/>
      <c r="AH20" s="261"/>
      <c r="AJ20" s="261"/>
      <c r="AN20" s="46"/>
      <c r="AO20" s="46"/>
      <c r="AP20" s="46"/>
      <c r="AQ20" s="46"/>
      <c r="AR20" s="46"/>
      <c r="AS20" s="43">
        <v>0</v>
      </c>
    </row>
    <row r="21" spans="1:45" s="43" customFormat="1" ht="14.25" hidden="1" customHeight="1">
      <c r="M21" s="167"/>
      <c r="N21" s="167"/>
      <c r="O21" s="167"/>
      <c r="P21" s="167"/>
      <c r="Q21" s="452"/>
      <c r="R21" s="452"/>
      <c r="AN21" s="46"/>
      <c r="AO21" s="46"/>
      <c r="AP21" s="46"/>
      <c r="AQ21" s="46"/>
      <c r="AR21" s="46"/>
      <c r="AS21" s="43">
        <v>0</v>
      </c>
    </row>
    <row r="22" spans="1:45" s="43" customFormat="1" ht="14.25" hidden="1" customHeight="1">
      <c r="M22" s="167"/>
      <c r="N22" s="167"/>
      <c r="O22" s="43" t="s">
        <v>421</v>
      </c>
      <c r="P22" s="167"/>
      <c r="Q22" s="452"/>
      <c r="R22" s="452"/>
      <c r="T22" s="43" t="s">
        <v>422</v>
      </c>
      <c r="AA22" s="43" t="s">
        <v>423</v>
      </c>
      <c r="AC22" s="43" t="s">
        <v>424</v>
      </c>
      <c r="AD22" s="43" t="s">
        <v>422</v>
      </c>
      <c r="AI22" s="43" t="s">
        <v>425</v>
      </c>
      <c r="AK22" s="43" t="s">
        <v>424</v>
      </c>
      <c r="AN22" s="46"/>
      <c r="AO22" s="46"/>
      <c r="AP22" s="46"/>
      <c r="AQ22" s="46"/>
      <c r="AR22" s="46"/>
      <c r="AS22" s="43">
        <v>0</v>
      </c>
    </row>
    <row r="23" spans="1:45" ht="14.25" hidden="1" customHeight="1">
      <c r="O23" s="43"/>
      <c r="AS23" s="4">
        <v>0</v>
      </c>
    </row>
    <row r="24" spans="1:45" ht="14.25" hidden="1" customHeight="1">
      <c r="O24" s="43"/>
      <c r="AS24" s="4">
        <v>0</v>
      </c>
    </row>
    <row r="25" spans="1:45" ht="14.65" customHeight="1">
      <c r="Q25" s="19"/>
      <c r="R25" s="19"/>
      <c r="S25" s="6"/>
      <c r="T25" s="6"/>
      <c r="U25" s="6"/>
      <c r="AS25" s="4">
        <v>14</v>
      </c>
    </row>
    <row r="26" spans="1:45" ht="53.45" customHeight="1">
      <c r="Q26" s="19"/>
      <c r="R26" s="19"/>
      <c r="S26" s="697"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697"/>
      <c r="U26" s="697"/>
      <c r="V26" s="697"/>
      <c r="W26" s="697"/>
      <c r="X26" s="697"/>
      <c r="Y26" s="697"/>
      <c r="Z26" s="697"/>
      <c r="AA26" s="697"/>
      <c r="AB26" s="697"/>
      <c r="AC26" s="697"/>
      <c r="AD26" s="697"/>
      <c r="AE26" s="697"/>
      <c r="AF26" s="697"/>
      <c r="AG26" s="697"/>
      <c r="AH26" s="697"/>
      <c r="AI26" s="697"/>
      <c r="AJ26" s="697"/>
      <c r="AK26" s="40"/>
      <c r="AS26" s="4">
        <v>51</v>
      </c>
    </row>
    <row r="27" spans="1:45" ht="14.65" customHeight="1">
      <c r="Q27" s="19"/>
      <c r="R27" s="19"/>
      <c r="S27" s="712" t="str">
        <f>IF(org=0,"Не определено",org)</f>
        <v>ООО "Восточная Тепловая компания"</v>
      </c>
      <c r="T27" s="712"/>
      <c r="U27" s="712"/>
      <c r="V27" s="712"/>
      <c r="W27" s="712"/>
      <c r="X27" s="712"/>
      <c r="Y27" s="712"/>
      <c r="Z27" s="712"/>
      <c r="AA27" s="712"/>
      <c r="AB27" s="712"/>
      <c r="AC27" s="712"/>
      <c r="AD27" s="712"/>
      <c r="AE27" s="712"/>
      <c r="AF27" s="712"/>
      <c r="AG27" s="712"/>
      <c r="AH27" s="712"/>
      <c r="AI27" s="712"/>
      <c r="AJ27" s="712"/>
      <c r="AK27" s="40"/>
      <c r="AS27" s="4">
        <v>14</v>
      </c>
    </row>
    <row r="28" spans="1:45" ht="14.25" hidden="1" customHeight="1">
      <c r="Q28" s="19"/>
      <c r="R28" s="19"/>
      <c r="S28" s="6"/>
      <c r="T28" s="6"/>
      <c r="U28" s="6"/>
      <c r="V28" s="109"/>
      <c r="W28" s="109"/>
      <c r="X28" s="109"/>
      <c r="Y28" s="109"/>
      <c r="Z28" s="109"/>
      <c r="AA28" s="109"/>
      <c r="AB28" s="109"/>
      <c r="AC28" s="109"/>
      <c r="AD28" s="109"/>
      <c r="AE28" s="109"/>
      <c r="AF28" s="109"/>
      <c r="AG28" s="109"/>
      <c r="AH28" s="109"/>
      <c r="AI28" s="109"/>
      <c r="AJ28" s="109"/>
      <c r="AK28" s="109"/>
      <c r="AS28" s="4">
        <v>0</v>
      </c>
    </row>
    <row r="29" spans="1:45" s="22" customFormat="1" ht="25.5" hidden="1" customHeight="1">
      <c r="A29" s="43"/>
      <c r="B29" s="43"/>
      <c r="C29" s="43"/>
      <c r="D29" s="43"/>
      <c r="E29" s="43"/>
      <c r="F29" s="43"/>
      <c r="G29" s="43"/>
      <c r="H29" s="43"/>
      <c r="I29" s="43"/>
      <c r="J29" s="43"/>
      <c r="K29" s="43"/>
      <c r="L29" s="43"/>
      <c r="M29" s="43"/>
      <c r="N29" s="43"/>
      <c r="O29" s="43"/>
      <c r="S29" s="721" t="s">
        <v>42</v>
      </c>
      <c r="T29" s="721"/>
      <c r="U29" s="453"/>
      <c r="V29" s="741" t="str">
        <f>IF(TITLE_NAME_OR_PR_CHANGE="",IF(TITLE_NAME_OR_PR="","",TITLE_NAME_OR_PR),TITLE_NAME_OR_PR_CHANGE)</f>
        <v/>
      </c>
      <c r="W29" s="741"/>
      <c r="X29" s="741"/>
      <c r="Y29" s="741"/>
      <c r="Z29" s="741"/>
      <c r="AA29" s="741"/>
      <c r="AB29" s="741"/>
      <c r="AC29" s="4"/>
      <c r="AD29" s="741" t="str">
        <f>IF(TITLE_NAME_OR_PR_CHANGE="",IF(TITLE_NAME_OR_PR="","",TITLE_NAME_OR_PR),TITLE_NAME_OR_PR_CHANGE)</f>
        <v/>
      </c>
      <c r="AE29" s="741"/>
      <c r="AF29" s="741"/>
      <c r="AG29" s="741"/>
      <c r="AH29" s="741"/>
      <c r="AI29" s="741"/>
      <c r="AJ29" s="741"/>
      <c r="AK29" s="4"/>
      <c r="AL29" s="4"/>
      <c r="AM29" s="96"/>
      <c r="AN29" s="46"/>
      <c r="AO29" s="46"/>
      <c r="AP29" s="46"/>
      <c r="AQ29" s="46"/>
      <c r="AR29" s="46"/>
      <c r="AS29" s="22">
        <v>0</v>
      </c>
    </row>
    <row r="30" spans="1:45" s="22" customFormat="1" ht="18.75" hidden="1" customHeight="1">
      <c r="A30" s="43"/>
      <c r="B30" s="43"/>
      <c r="C30" s="43"/>
      <c r="D30" s="43"/>
      <c r="E30" s="43"/>
      <c r="F30" s="43"/>
      <c r="G30" s="43"/>
      <c r="H30" s="43"/>
      <c r="I30" s="43"/>
      <c r="J30" s="43"/>
      <c r="K30" s="43"/>
      <c r="L30" s="43"/>
      <c r="M30" s="43"/>
      <c r="N30" s="43"/>
      <c r="O30" s="43"/>
      <c r="S30" s="721" t="s">
        <v>426</v>
      </c>
      <c r="T30" s="721"/>
      <c r="U30" s="453"/>
      <c r="V30" s="740" t="str">
        <f>IF(TITLE_DATE_PR_CHANGE="",IF(TITLE_DATE_PR="","",TITLE_DATE_PR),TITLE_DATE_PR_CHANGE)</f>
        <v/>
      </c>
      <c r="W30" s="740"/>
      <c r="X30" s="740"/>
      <c r="Y30" s="740"/>
      <c r="Z30" s="740"/>
      <c r="AA30" s="740"/>
      <c r="AB30" s="740"/>
      <c r="AC30" s="4"/>
      <c r="AD30" s="740" t="str">
        <f>IF(TITLE_DATE_PR_CHANGE="",IF(TITLE_DATE_PR="","",TITLE_DATE_PR),TITLE_DATE_PR_CHANGE)</f>
        <v/>
      </c>
      <c r="AE30" s="740"/>
      <c r="AF30" s="740"/>
      <c r="AG30" s="740"/>
      <c r="AH30" s="740"/>
      <c r="AI30" s="740"/>
      <c r="AJ30" s="740"/>
      <c r="AK30" s="4"/>
      <c r="AL30" s="4"/>
      <c r="AM30" s="96"/>
      <c r="AN30" s="46"/>
      <c r="AO30" s="46"/>
      <c r="AP30" s="46"/>
      <c r="AQ30" s="46"/>
      <c r="AR30" s="46"/>
      <c r="AS30" s="22">
        <v>0</v>
      </c>
    </row>
    <row r="31" spans="1:45" s="22" customFormat="1" ht="18.75" hidden="1" customHeight="1">
      <c r="A31" s="43"/>
      <c r="B31" s="43"/>
      <c r="C31" s="43"/>
      <c r="D31" s="43"/>
      <c r="E31" s="43"/>
      <c r="F31" s="43"/>
      <c r="G31" s="43"/>
      <c r="H31" s="43"/>
      <c r="I31" s="43"/>
      <c r="J31" s="43"/>
      <c r="K31" s="43"/>
      <c r="L31" s="43"/>
      <c r="M31" s="43"/>
      <c r="N31" s="43"/>
      <c r="O31" s="43"/>
      <c r="S31" s="721" t="s">
        <v>427</v>
      </c>
      <c r="T31" s="721"/>
      <c r="U31" s="453"/>
      <c r="V31" s="741" t="str">
        <f>IF(TITLE_NUMBER_PR_CHANGE="",IF(TITLE_NUMBER_PR="","",TITLE_NUMBER_PR),TITLE_NUMBER_PR_CHANGE)</f>
        <v/>
      </c>
      <c r="W31" s="741"/>
      <c r="X31" s="741"/>
      <c r="Y31" s="741"/>
      <c r="Z31" s="741"/>
      <c r="AA31" s="741"/>
      <c r="AB31" s="741"/>
      <c r="AC31" s="4"/>
      <c r="AD31" s="741" t="str">
        <f>IF(TITLE_NUMBER_PR_CHANGE="",IF(TITLE_NUMBER_PR="","",TITLE_NUMBER_PR),TITLE_NUMBER_PR_CHANGE)</f>
        <v/>
      </c>
      <c r="AE31" s="741"/>
      <c r="AF31" s="741"/>
      <c r="AG31" s="741"/>
      <c r="AH31" s="741"/>
      <c r="AI31" s="741"/>
      <c r="AJ31" s="741"/>
      <c r="AK31" s="4"/>
      <c r="AL31" s="4"/>
      <c r="AM31" s="96"/>
      <c r="AN31" s="46"/>
      <c r="AO31" s="46"/>
      <c r="AP31" s="46"/>
      <c r="AQ31" s="46"/>
      <c r="AR31" s="46"/>
      <c r="AS31" s="22">
        <v>0</v>
      </c>
    </row>
    <row r="32" spans="1:45" s="22" customFormat="1" ht="18.75" hidden="1" customHeight="1">
      <c r="A32" s="43"/>
      <c r="B32" s="43"/>
      <c r="C32" s="43"/>
      <c r="D32" s="43"/>
      <c r="E32" s="43"/>
      <c r="F32" s="43"/>
      <c r="G32" s="43"/>
      <c r="H32" s="43"/>
      <c r="I32" s="43"/>
      <c r="J32" s="43"/>
      <c r="K32" s="43"/>
      <c r="L32" s="43"/>
      <c r="M32" s="43"/>
      <c r="N32" s="43"/>
      <c r="O32" s="43"/>
      <c r="S32" s="721" t="s">
        <v>43</v>
      </c>
      <c r="T32" s="721"/>
      <c r="U32" s="453"/>
      <c r="V32" s="741" t="str">
        <f>IF(TITLE_IST_PUB_CHANGE="",IF(TITLE_IST_PUB="","",TITLE_IST_PUB),TITLE_IST_PUB_CHANGE)</f>
        <v/>
      </c>
      <c r="W32" s="741"/>
      <c r="X32" s="741"/>
      <c r="Y32" s="741"/>
      <c r="Z32" s="741"/>
      <c r="AA32" s="741"/>
      <c r="AB32" s="741"/>
      <c r="AC32" s="4"/>
      <c r="AD32" s="741" t="str">
        <f>IF(TITLE_IST_PUB_CHANGE="",IF(TITLE_IST_PUB="","",TITLE_IST_PUB),TITLE_IST_PUB_CHANGE)</f>
        <v/>
      </c>
      <c r="AE32" s="741"/>
      <c r="AF32" s="741"/>
      <c r="AG32" s="741"/>
      <c r="AH32" s="741"/>
      <c r="AI32" s="741"/>
      <c r="AJ32" s="741"/>
      <c r="AK32" s="4"/>
      <c r="AL32" s="4"/>
      <c r="AM32" s="96"/>
      <c r="AN32" s="46"/>
      <c r="AO32" s="46"/>
      <c r="AP32" s="46"/>
      <c r="AQ32" s="46"/>
      <c r="AR32" s="46"/>
      <c r="AS32" s="22">
        <v>0</v>
      </c>
    </row>
    <row r="33" spans="1:45" ht="14.25" hidden="1" customHeight="1">
      <c r="Q33" s="19"/>
      <c r="R33" s="19"/>
      <c r="S33" s="6"/>
      <c r="T33" s="6"/>
      <c r="U33" s="6"/>
      <c r="V33" s="109"/>
      <c r="W33" s="109"/>
      <c r="X33" s="109"/>
      <c r="Y33" s="109"/>
      <c r="Z33" s="109"/>
      <c r="AA33" s="109"/>
      <c r="AB33" s="109"/>
      <c r="AC33" s="109"/>
      <c r="AD33" s="109"/>
      <c r="AE33" s="109"/>
      <c r="AF33" s="109"/>
      <c r="AG33" s="109"/>
      <c r="AH33" s="109"/>
      <c r="AI33" s="109"/>
      <c r="AJ33" s="109"/>
      <c r="AK33" s="109"/>
      <c r="AS33" s="4">
        <v>0</v>
      </c>
    </row>
    <row r="34" spans="1:45" s="22" customFormat="1" ht="18.75" hidden="1" customHeight="1">
      <c r="A34" s="43"/>
      <c r="B34" s="43"/>
      <c r="C34" s="43"/>
      <c r="D34" s="43"/>
      <c r="E34" s="43"/>
      <c r="F34" s="43"/>
      <c r="G34" s="43"/>
      <c r="H34" s="43"/>
      <c r="I34" s="43"/>
      <c r="J34" s="43"/>
      <c r="K34" s="43"/>
      <c r="L34" s="43"/>
      <c r="M34" s="43"/>
      <c r="N34" s="43"/>
      <c r="O34" s="43"/>
      <c r="S34" s="721" t="s">
        <v>428</v>
      </c>
      <c r="T34" s="721"/>
      <c r="U34" s="453"/>
      <c r="V34" s="740" t="str">
        <f>IF(TITLE_DATE_PR_CHANGE="",IF(TITLE_DATE_PR="","",TITLE_DATE_PR),TITLE_DATE_PR_CHANGE)</f>
        <v/>
      </c>
      <c r="W34" s="740"/>
      <c r="X34" s="740"/>
      <c r="Y34" s="740"/>
      <c r="Z34" s="740"/>
      <c r="AA34" s="740"/>
      <c r="AB34" s="740"/>
      <c r="AC34" s="4"/>
      <c r="AD34" s="740" t="str">
        <f>IF(TITLE_DATE_PR_CHANGE="",IF(TITLE_DATE_PR="","",TITLE_DATE_PR),TITLE_DATE_PR_CHANGE)</f>
        <v/>
      </c>
      <c r="AE34" s="740"/>
      <c r="AF34" s="740"/>
      <c r="AG34" s="740"/>
      <c r="AH34" s="740"/>
      <c r="AI34" s="740"/>
      <c r="AJ34" s="740"/>
      <c r="AK34" s="4"/>
      <c r="AL34" s="4"/>
      <c r="AM34" s="96"/>
      <c r="AN34" s="46"/>
      <c r="AO34" s="46"/>
      <c r="AP34" s="46"/>
      <c r="AQ34" s="46"/>
      <c r="AR34" s="46"/>
      <c r="AS34" s="22">
        <v>0</v>
      </c>
    </row>
    <row r="35" spans="1:45" s="22" customFormat="1" ht="25.5" hidden="1" customHeight="1">
      <c r="A35" s="43"/>
      <c r="B35" s="43"/>
      <c r="C35" s="43"/>
      <c r="D35" s="43"/>
      <c r="E35" s="43"/>
      <c r="F35" s="43"/>
      <c r="G35" s="43"/>
      <c r="H35" s="43"/>
      <c r="I35" s="43"/>
      <c r="J35" s="43"/>
      <c r="K35" s="43"/>
      <c r="L35" s="43"/>
      <c r="M35" s="43"/>
      <c r="N35" s="43"/>
      <c r="O35" s="43"/>
      <c r="S35" s="721" t="s">
        <v>429</v>
      </c>
      <c r="T35" s="721"/>
      <c r="U35" s="453"/>
      <c r="V35" s="741" t="str">
        <f>IF(TITLE_NUMBER_PR_CHANGE="",IF(TITLE_NUMBER_PR="","",TITLE_NUMBER_PR),TITLE_NUMBER_PR_CHANGE)</f>
        <v/>
      </c>
      <c r="W35" s="741"/>
      <c r="X35" s="741"/>
      <c r="Y35" s="741"/>
      <c r="Z35" s="741"/>
      <c r="AA35" s="741"/>
      <c r="AB35" s="741"/>
      <c r="AC35" s="4"/>
      <c r="AD35" s="741" t="str">
        <f>IF(TITLE_NUMBER_PR_CHANGE="",IF(TITLE_NUMBER_PR="","",TITLE_NUMBER_PR),TITLE_NUMBER_PR_CHANGE)</f>
        <v/>
      </c>
      <c r="AE35" s="741"/>
      <c r="AF35" s="741"/>
      <c r="AG35" s="741"/>
      <c r="AH35" s="741"/>
      <c r="AI35" s="741"/>
      <c r="AJ35" s="741"/>
      <c r="AK35" s="4"/>
      <c r="AL35" s="4"/>
      <c r="AM35" s="96"/>
      <c r="AN35" s="46"/>
      <c r="AO35" s="46"/>
      <c r="AP35" s="46"/>
      <c r="AQ35" s="46"/>
      <c r="AR35" s="46"/>
      <c r="AS35" s="22">
        <v>0</v>
      </c>
    </row>
    <row r="36" spans="1:45" s="22" customFormat="1" ht="0" hidden="1" customHeight="1">
      <c r="A36" s="43"/>
      <c r="B36" s="43"/>
      <c r="C36" s="43"/>
      <c r="D36" s="43"/>
      <c r="E36" s="43"/>
      <c r="F36" s="43"/>
      <c r="G36" s="43"/>
      <c r="H36" s="43"/>
      <c r="I36" s="43"/>
      <c r="J36" s="43"/>
      <c r="K36" s="43"/>
      <c r="L36" s="43"/>
      <c r="M36" s="43"/>
      <c r="N36" s="43"/>
      <c r="O36" s="43"/>
      <c r="S36" s="4"/>
      <c r="T36" s="4"/>
      <c r="U36" s="4"/>
      <c r="V36" s="4"/>
      <c r="W36" s="4"/>
      <c r="X36" s="4"/>
      <c r="Y36" s="4"/>
      <c r="Z36" s="4"/>
      <c r="AA36" s="4"/>
      <c r="AB36" s="4"/>
      <c r="AC36" s="46" t="s">
        <v>430</v>
      </c>
      <c r="AD36" s="4"/>
      <c r="AE36" s="4"/>
      <c r="AF36" s="4"/>
      <c r="AG36" s="4"/>
      <c r="AH36" s="4"/>
      <c r="AI36" s="4"/>
      <c r="AJ36" s="4"/>
      <c r="AK36" s="46" t="s">
        <v>430</v>
      </c>
      <c r="AN36" s="46"/>
      <c r="AO36" s="46"/>
      <c r="AP36" s="46"/>
      <c r="AQ36" s="46"/>
      <c r="AR36" s="46"/>
      <c r="AS36" s="22">
        <v>0</v>
      </c>
    </row>
    <row r="37" spans="1:45" ht="14.65" customHeight="1">
      <c r="Q37" s="19"/>
      <c r="R37" s="19"/>
      <c r="S37" s="6"/>
      <c r="T37" s="6"/>
      <c r="U37" s="420"/>
      <c r="V37" s="755"/>
      <c r="W37" s="755"/>
      <c r="X37" s="755"/>
      <c r="Y37" s="755"/>
      <c r="Z37" s="755"/>
      <c r="AA37" s="755"/>
      <c r="AB37" s="755"/>
      <c r="AC37" s="755"/>
      <c r="AD37" s="755"/>
      <c r="AE37" s="755"/>
      <c r="AF37" s="755"/>
      <c r="AG37" s="755"/>
      <c r="AH37" s="755"/>
      <c r="AI37" s="755"/>
      <c r="AJ37" s="755"/>
      <c r="AK37" s="755"/>
      <c r="AS37" s="4">
        <v>14</v>
      </c>
    </row>
    <row r="38" spans="1:45" ht="14.65" customHeight="1">
      <c r="Q38" s="19"/>
      <c r="R38" s="19"/>
      <c r="S38" s="679" t="s">
        <v>303</v>
      </c>
      <c r="T38" s="679"/>
      <c r="U38" s="679"/>
      <c r="V38" s="679"/>
      <c r="W38" s="679"/>
      <c r="X38" s="679"/>
      <c r="Y38" s="679"/>
      <c r="Z38" s="679"/>
      <c r="AA38" s="679"/>
      <c r="AB38" s="679"/>
      <c r="AC38" s="679"/>
      <c r="AD38" s="679"/>
      <c r="AE38" s="679"/>
      <c r="AF38" s="679"/>
      <c r="AG38" s="679"/>
      <c r="AH38" s="679"/>
      <c r="AI38" s="679"/>
      <c r="AJ38" s="679"/>
      <c r="AK38" s="679"/>
      <c r="AL38" s="679"/>
      <c r="AM38" s="679" t="s">
        <v>304</v>
      </c>
      <c r="AS38" s="4">
        <v>14</v>
      </c>
    </row>
    <row r="39" spans="1:45" ht="14.65" customHeight="1">
      <c r="Q39" s="19"/>
      <c r="R39" s="19"/>
      <c r="S39" s="722" t="s">
        <v>88</v>
      </c>
      <c r="T39" s="722" t="s">
        <v>431</v>
      </c>
      <c r="U39" s="100"/>
      <c r="V39" s="756" t="s">
        <v>432</v>
      </c>
      <c r="W39" s="757"/>
      <c r="X39" s="757"/>
      <c r="Y39" s="757"/>
      <c r="Z39" s="757"/>
      <c r="AA39" s="757"/>
      <c r="AB39" s="758"/>
      <c r="AC39" s="724" t="s">
        <v>433</v>
      </c>
      <c r="AD39" s="756" t="s">
        <v>432</v>
      </c>
      <c r="AE39" s="757"/>
      <c r="AF39" s="757"/>
      <c r="AG39" s="757"/>
      <c r="AH39" s="757"/>
      <c r="AI39" s="757"/>
      <c r="AJ39" s="758"/>
      <c r="AK39" s="724" t="s">
        <v>434</v>
      </c>
      <c r="AL39" s="759" t="s">
        <v>435</v>
      </c>
      <c r="AM39" s="679"/>
      <c r="AS39" s="4">
        <v>14</v>
      </c>
    </row>
    <row r="40" spans="1:45" ht="35.65" customHeight="1">
      <c r="Q40" s="19"/>
      <c r="R40" s="19"/>
      <c r="S40" s="722"/>
      <c r="T40" s="722"/>
      <c r="U40" s="349"/>
      <c r="V40" s="673" t="s">
        <v>436</v>
      </c>
      <c r="W40" s="752"/>
      <c r="X40" s="662" t="s">
        <v>438</v>
      </c>
      <c r="Y40" s="661"/>
      <c r="Z40" s="662" t="s">
        <v>439</v>
      </c>
      <c r="AA40" s="666"/>
      <c r="AB40" s="661"/>
      <c r="AC40" s="725"/>
      <c r="AD40" s="673" t="s">
        <v>453</v>
      </c>
      <c r="AE40" s="752"/>
      <c r="AF40" s="662" t="s">
        <v>438</v>
      </c>
      <c r="AG40" s="661"/>
      <c r="AH40" s="662" t="s">
        <v>439</v>
      </c>
      <c r="AI40" s="666"/>
      <c r="AJ40" s="661"/>
      <c r="AK40" s="725"/>
      <c r="AL40" s="760"/>
      <c r="AM40" s="679"/>
      <c r="AS40" s="4">
        <v>34</v>
      </c>
    </row>
    <row r="41" spans="1:45" ht="35.65" customHeight="1">
      <c r="B41" s="43" t="s">
        <v>140</v>
      </c>
      <c r="C41" s="43" t="s">
        <v>141</v>
      </c>
      <c r="D41" s="43" t="s">
        <v>142</v>
      </c>
      <c r="E41" s="43" t="s">
        <v>440</v>
      </c>
      <c r="F41" s="43" t="s">
        <v>441</v>
      </c>
      <c r="G41" s="43" t="s">
        <v>442</v>
      </c>
      <c r="H41" s="43" t="s">
        <v>443</v>
      </c>
      <c r="I41" s="43" t="s">
        <v>444</v>
      </c>
      <c r="J41" s="43" t="s">
        <v>445</v>
      </c>
      <c r="K41" s="43" t="s">
        <v>446</v>
      </c>
      <c r="L41" s="43" t="s">
        <v>421</v>
      </c>
      <c r="Q41" s="19"/>
      <c r="R41" s="19"/>
      <c r="S41" s="722"/>
      <c r="T41" s="722"/>
      <c r="U41" s="101"/>
      <c r="V41" s="676"/>
      <c r="W41" s="753"/>
      <c r="X41" s="27" t="s">
        <v>447</v>
      </c>
      <c r="Y41" s="27" t="s">
        <v>448</v>
      </c>
      <c r="Z41" s="27" t="s">
        <v>449</v>
      </c>
      <c r="AA41" s="728" t="s">
        <v>450</v>
      </c>
      <c r="AB41" s="734"/>
      <c r="AC41" s="726"/>
      <c r="AD41" s="676"/>
      <c r="AE41" s="753"/>
      <c r="AF41" s="27" t="s">
        <v>447</v>
      </c>
      <c r="AG41" s="27" t="s">
        <v>448</v>
      </c>
      <c r="AH41" s="27" t="s">
        <v>449</v>
      </c>
      <c r="AI41" s="728" t="s">
        <v>450</v>
      </c>
      <c r="AJ41" s="734"/>
      <c r="AK41" s="726"/>
      <c r="AL41" s="761"/>
      <c r="AM41" s="679"/>
      <c r="AS41" s="4">
        <v>34</v>
      </c>
    </row>
    <row r="42" spans="1:45" s="117" customFormat="1" ht="11.25" hidden="1" customHeight="1">
      <c r="A42" s="43"/>
      <c r="B42" s="43"/>
      <c r="C42" s="43"/>
      <c r="D42" s="43"/>
      <c r="E42" s="43"/>
      <c r="F42" s="43"/>
      <c r="G42" s="43"/>
      <c r="H42" s="43"/>
      <c r="I42" s="43"/>
      <c r="J42" s="43"/>
      <c r="K42" s="43"/>
      <c r="L42" s="43"/>
      <c r="M42" s="167"/>
      <c r="N42" s="167"/>
      <c r="O42" s="167"/>
      <c r="P42" s="178"/>
      <c r="Q42" s="422"/>
      <c r="R42" s="424">
        <v>1</v>
      </c>
      <c r="S42" s="425" t="s">
        <v>110</v>
      </c>
      <c r="T42" s="425" t="s">
        <v>111</v>
      </c>
      <c r="U42" s="421" t="str">
        <f ca="1">OFFSET(U42,0,-1)</f>
        <v>2</v>
      </c>
      <c r="V42" s="426">
        <f ca="1">OFFSET(V42,0,-1)+1</f>
        <v>3</v>
      </c>
      <c r="W42" s="426"/>
      <c r="X42" s="426">
        <f ca="1">OFFSET(X42,0,-1)+1</f>
        <v>1</v>
      </c>
      <c r="Y42" s="426">
        <f ca="1">OFFSET(Y42,0,-1)+1</f>
        <v>2</v>
      </c>
      <c r="Z42" s="426">
        <f ca="1">OFFSET(Z42,0,-1)+1</f>
        <v>3</v>
      </c>
      <c r="AA42" s="754">
        <f ca="1">OFFSET(AA42,0,-1)+1</f>
        <v>4</v>
      </c>
      <c r="AB42" s="754"/>
      <c r="AC42" s="426">
        <f ca="1">OFFSET(AC42,0,-2)+1</f>
        <v>5</v>
      </c>
      <c r="AD42" s="426">
        <f ca="1">OFFSET(AD42,0,-1)+1</f>
        <v>6</v>
      </c>
      <c r="AE42" s="426"/>
      <c r="AF42" s="426">
        <f ca="1">OFFSET(AF42,0,-1)+1</f>
        <v>1</v>
      </c>
      <c r="AG42" s="426">
        <f ca="1">OFFSET(AG42,0,-1)+1</f>
        <v>2</v>
      </c>
      <c r="AH42" s="426">
        <f ca="1">OFFSET(AH42,0,-1)+1</f>
        <v>3</v>
      </c>
      <c r="AI42" s="754">
        <f ca="1">OFFSET(AI42,0,-1)+1</f>
        <v>4</v>
      </c>
      <c r="AJ42" s="754"/>
      <c r="AK42" s="426">
        <f ca="1">OFFSET(AK42,0,-2)+1</f>
        <v>5</v>
      </c>
      <c r="AL42" s="421">
        <f ca="1">OFFSET(AL42,0,-1)</f>
        <v>5</v>
      </c>
      <c r="AM42" s="426">
        <f ca="1">OFFSET(AM42,0,-1)+1</f>
        <v>6</v>
      </c>
      <c r="AN42" s="46"/>
      <c r="AO42" s="46"/>
      <c r="AP42" s="46"/>
      <c r="AQ42" s="46"/>
      <c r="AR42" s="46"/>
      <c r="AS42" s="117">
        <v>0</v>
      </c>
    </row>
    <row r="43" spans="1:45" ht="21.95" customHeight="1">
      <c r="A43" s="43" t="s">
        <v>191</v>
      </c>
      <c r="E43" s="745">
        <v>1</v>
      </c>
      <c r="M43" s="43"/>
      <c r="N43" s="43"/>
      <c r="O43" s="43"/>
      <c r="Q43" s="4"/>
      <c r="R43" s="119"/>
      <c r="S43" s="24">
        <f>INDEX(PT_DIFFERENTIATION_NUM_NTAR,MATCH(A43,PT_DIFFERENTIATION_NTAR_ID,0))</f>
        <v>0</v>
      </c>
      <c r="T43" s="29" t="s">
        <v>128</v>
      </c>
      <c r="U43" s="29"/>
      <c r="V43" s="742"/>
      <c r="W43" s="743"/>
      <c r="X43" s="743"/>
      <c r="Y43" s="743"/>
      <c r="Z43" s="743"/>
      <c r="AA43" s="743"/>
      <c r="AB43" s="743"/>
      <c r="AC43" s="744"/>
      <c r="AD43" s="742" t="str">
        <f>INDEX(PT_DIFFERENTIATION_NTAR,MATCH(A43,PT_DIFFERENTIATION_NTAR_ID,0))</f>
        <v/>
      </c>
      <c r="AE43" s="743"/>
      <c r="AF43" s="743"/>
      <c r="AG43" s="743"/>
      <c r="AH43" s="743"/>
      <c r="AI43" s="743"/>
      <c r="AJ43" s="743"/>
      <c r="AK43" s="743"/>
      <c r="AL43" s="744"/>
      <c r="AM43" s="428"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P43" s="46" t="str">
        <f t="shared" ref="AP43:AP57" si="1">IF(T43="","",T43)</f>
        <v>Наименование тарифа</v>
      </c>
      <c r="AS43" s="4">
        <v>21</v>
      </c>
    </row>
    <row r="44" spans="1:45" ht="21.95" customHeight="1">
      <c r="A44" s="43" t="s">
        <v>191</v>
      </c>
      <c r="B44" s="43" t="s">
        <v>192</v>
      </c>
      <c r="E44" s="747"/>
      <c r="F44" s="745">
        <v>1</v>
      </c>
      <c r="M44" s="43"/>
      <c r="N44" s="43"/>
      <c r="O44" s="43"/>
      <c r="P44" s="4"/>
      <c r="Q44" s="118"/>
      <c r="R44" s="119"/>
      <c r="S44" s="24" t="str">
        <f>INDEX(PT_DIFFERENTIATION_NUM_TER,MATCH(B44,PT_DIFFERENTIATION_TER_ID,0))</f>
        <v>.</v>
      </c>
      <c r="T44" s="24" t="s">
        <v>400</v>
      </c>
      <c r="U44" s="29"/>
      <c r="V44" s="742"/>
      <c r="W44" s="743"/>
      <c r="X44" s="743"/>
      <c r="Y44" s="743"/>
      <c r="Z44" s="743"/>
      <c r="AA44" s="743"/>
      <c r="AB44" s="743"/>
      <c r="AC44" s="744"/>
      <c r="AD44" s="742" t="str">
        <f>INDEX(PT_DIFFERENTIATION_TER,MATCH(B44,PT_DIFFERENTIATION_TER_ID,0))</f>
        <v/>
      </c>
      <c r="AE44" s="743"/>
      <c r="AF44" s="743"/>
      <c r="AG44" s="743"/>
      <c r="AH44" s="743"/>
      <c r="AI44" s="743"/>
      <c r="AJ44" s="743"/>
      <c r="AK44" s="743"/>
      <c r="AL44" s="744"/>
      <c r="AM44" s="428" t="s">
        <v>401</v>
      </c>
      <c r="AP44" s="46" t="str">
        <f t="shared" si="1"/>
        <v>Территория действия тарифа</v>
      </c>
      <c r="AS44" s="4">
        <v>21</v>
      </c>
    </row>
    <row r="45" spans="1:45" ht="24" customHeight="1">
      <c r="A45" s="43" t="s">
        <v>191</v>
      </c>
      <c r="B45" s="43" t="s">
        <v>192</v>
      </c>
      <c r="C45" s="43" t="s">
        <v>193</v>
      </c>
      <c r="E45" s="747"/>
      <c r="F45" s="747"/>
      <c r="G45" s="745">
        <v>1</v>
      </c>
      <c r="M45" s="43"/>
      <c r="N45" s="43"/>
      <c r="O45" s="43"/>
      <c r="P45" s="16"/>
      <c r="Q45" s="118"/>
      <c r="R45" s="119"/>
      <c r="S45" s="24" t="str">
        <f>INDEX(PT_DIFFERENTIATION_NUM_CS,MATCH(C45,PT_DIFFERENTIATION_CS_ID,0))</f>
        <v>..</v>
      </c>
      <c r="T45" s="24" t="s">
        <v>402</v>
      </c>
      <c r="U45" s="29"/>
      <c r="V45" s="742"/>
      <c r="W45" s="743"/>
      <c r="X45" s="743"/>
      <c r="Y45" s="743"/>
      <c r="Z45" s="743"/>
      <c r="AA45" s="743"/>
      <c r="AB45" s="743"/>
      <c r="AC45" s="744"/>
      <c r="AD45" s="742" t="str">
        <f>INDEX(PT_DIFFERENTIATION_CS,MATCH(C45,PT_DIFFERENTIATION_CS_ID,0))</f>
        <v/>
      </c>
      <c r="AE45" s="743"/>
      <c r="AF45" s="743"/>
      <c r="AG45" s="743"/>
      <c r="AH45" s="743"/>
      <c r="AI45" s="743"/>
      <c r="AJ45" s="743"/>
      <c r="AK45" s="743"/>
      <c r="AL45" s="744"/>
      <c r="AM45" s="428" t="s">
        <v>403</v>
      </c>
      <c r="AP45" s="46" t="str">
        <f t="shared" si="1"/>
        <v xml:space="preserve">Наименование системы теплоснабжения </v>
      </c>
      <c r="AS45" s="4">
        <v>23</v>
      </c>
    </row>
    <row r="46" spans="1:45" ht="21.95" customHeight="1">
      <c r="A46" s="43" t="s">
        <v>191</v>
      </c>
      <c r="B46" s="43" t="s">
        <v>192</v>
      </c>
      <c r="C46" s="43" t="s">
        <v>193</v>
      </c>
      <c r="D46" s="43" t="s">
        <v>194</v>
      </c>
      <c r="E46" s="747"/>
      <c r="F46" s="747"/>
      <c r="G46" s="747"/>
      <c r="H46" s="745">
        <v>1</v>
      </c>
      <c r="M46" s="43"/>
      <c r="N46" s="43"/>
      <c r="O46" s="43"/>
      <c r="P46" s="16"/>
      <c r="Q46" s="118"/>
      <c r="R46" s="119"/>
      <c r="S46" s="24" t="str">
        <f>INDEX(PT_DIFFERENTIATION_NUM_IST_TE,MATCH(D46,PT_DIFFERENTIATION_IST_TE_ID,0))</f>
        <v>...</v>
      </c>
      <c r="T46" s="24" t="s">
        <v>404</v>
      </c>
      <c r="U46" s="29"/>
      <c r="V46" s="742"/>
      <c r="W46" s="743"/>
      <c r="X46" s="743"/>
      <c r="Y46" s="743"/>
      <c r="Z46" s="743"/>
      <c r="AA46" s="743"/>
      <c r="AB46" s="743"/>
      <c r="AC46" s="744"/>
      <c r="AD46" s="742" t="str">
        <f>INDEX(PT_DIFFERENTIATION_IST_TE,MATCH(D46,PT_DIFFERENTIATION_IST_TE_ID,0))</f>
        <v/>
      </c>
      <c r="AE46" s="743"/>
      <c r="AF46" s="743"/>
      <c r="AG46" s="743"/>
      <c r="AH46" s="743"/>
      <c r="AI46" s="743"/>
      <c r="AJ46" s="743"/>
      <c r="AK46" s="743"/>
      <c r="AL46" s="744"/>
      <c r="AM46" s="428" t="s">
        <v>405</v>
      </c>
      <c r="AP46" s="46" t="str">
        <f t="shared" si="1"/>
        <v xml:space="preserve">Источник тепловой энергии  </v>
      </c>
      <c r="AS46" s="4">
        <v>21</v>
      </c>
    </row>
    <row r="47" spans="1:45" s="46" customFormat="1" ht="0" hidden="1" customHeight="1">
      <c r="A47" s="46" t="s">
        <v>191</v>
      </c>
      <c r="B47" s="46" t="s">
        <v>192</v>
      </c>
      <c r="C47" s="46" t="s">
        <v>193</v>
      </c>
      <c r="D47" s="46" t="s">
        <v>194</v>
      </c>
      <c r="E47" s="747"/>
      <c r="F47" s="747"/>
      <c r="G47" s="747"/>
      <c r="H47" s="747"/>
      <c r="I47" s="745" t="str">
        <f>S46&amp;".1"</f>
        <v>....1</v>
      </c>
      <c r="L47" s="46" t="s">
        <v>406</v>
      </c>
      <c r="M47" s="160"/>
      <c r="N47" s="160"/>
      <c r="O47" s="160"/>
      <c r="P47" s="748">
        <v>1</v>
      </c>
      <c r="R47" s="120"/>
      <c r="S47" s="174"/>
      <c r="T47" s="174"/>
      <c r="U47" s="174"/>
      <c r="V47" s="768"/>
      <c r="W47" s="769"/>
      <c r="X47" s="769"/>
      <c r="Y47" s="769"/>
      <c r="Z47" s="769"/>
      <c r="AA47" s="769"/>
      <c r="AB47" s="769"/>
      <c r="AC47" s="770"/>
      <c r="AD47" s="768"/>
      <c r="AE47" s="769"/>
      <c r="AF47" s="769"/>
      <c r="AG47" s="769"/>
      <c r="AH47" s="769"/>
      <c r="AI47" s="769"/>
      <c r="AJ47" s="769"/>
      <c r="AK47" s="769"/>
      <c r="AL47" s="770"/>
      <c r="AM47" s="174"/>
      <c r="AP47" s="46" t="str">
        <f t="shared" si="1"/>
        <v/>
      </c>
      <c r="AS47" s="46">
        <v>0</v>
      </c>
    </row>
    <row r="48" spans="1:45" ht="21.95" customHeight="1">
      <c r="A48" s="43" t="s">
        <v>191</v>
      </c>
      <c r="B48" s="43" t="s">
        <v>192</v>
      </c>
      <c r="C48" s="43" t="s">
        <v>193</v>
      </c>
      <c r="D48" s="43" t="s">
        <v>194</v>
      </c>
      <c r="E48" s="747"/>
      <c r="F48" s="747"/>
      <c r="G48" s="747"/>
      <c r="H48" s="747"/>
      <c r="I48" s="747"/>
      <c r="J48" s="745" t="str">
        <f>S46&amp;".1"</f>
        <v>....1</v>
      </c>
      <c r="L48" s="43" t="s">
        <v>409</v>
      </c>
      <c r="P48" s="748"/>
      <c r="Q48" s="748">
        <v>1</v>
      </c>
      <c r="R48" s="120"/>
      <c r="S48" s="24" t="str">
        <f>$J48</f>
        <v>....1</v>
      </c>
      <c r="T48" s="24" t="s">
        <v>410</v>
      </c>
      <c r="U48" s="29"/>
      <c r="V48" s="737"/>
      <c r="W48" s="738"/>
      <c r="X48" s="738"/>
      <c r="Y48" s="738"/>
      <c r="Z48" s="738"/>
      <c r="AA48" s="738"/>
      <c r="AB48" s="738"/>
      <c r="AC48" s="739"/>
      <c r="AD48" s="737"/>
      <c r="AE48" s="738"/>
      <c r="AF48" s="738"/>
      <c r="AG48" s="738"/>
      <c r="AH48" s="738"/>
      <c r="AI48" s="738"/>
      <c r="AJ48" s="738"/>
      <c r="AK48" s="738"/>
      <c r="AL48" s="739"/>
      <c r="AM48" s="428" t="s">
        <v>411</v>
      </c>
      <c r="AP48" s="46" t="str">
        <f t="shared" si="1"/>
        <v>Группа потребителей</v>
      </c>
      <c r="AS48" s="4">
        <v>21</v>
      </c>
    </row>
    <row r="49" spans="1:45" ht="21.95" customHeight="1">
      <c r="A49" s="43" t="s">
        <v>191</v>
      </c>
      <c r="B49" s="43" t="s">
        <v>192</v>
      </c>
      <c r="C49" s="43" t="s">
        <v>193</v>
      </c>
      <c r="D49" s="43" t="s">
        <v>194</v>
      </c>
      <c r="E49" s="747"/>
      <c r="F49" s="747"/>
      <c r="G49" s="747"/>
      <c r="H49" s="747"/>
      <c r="I49" s="747"/>
      <c r="J49" s="747"/>
      <c r="K49" s="745" t="str">
        <f>J48&amp;".1"</f>
        <v>....1.1</v>
      </c>
      <c r="L49" s="43" t="s">
        <v>412</v>
      </c>
      <c r="P49" s="748"/>
      <c r="Q49" s="748"/>
      <c r="R49" s="120">
        <v>1</v>
      </c>
      <c r="S49" s="24" t="str">
        <f>$K49</f>
        <v>....1.1</v>
      </c>
      <c r="T49" s="356"/>
      <c r="U49" s="29"/>
      <c r="V49" s="168"/>
      <c r="W49" s="110"/>
      <c r="X49" s="168"/>
      <c r="Y49" s="427"/>
      <c r="Z49" s="749"/>
      <c r="AA49" s="688" t="s">
        <v>66</v>
      </c>
      <c r="AB49" s="749"/>
      <c r="AC49" s="688" t="s">
        <v>66</v>
      </c>
      <c r="AD49" s="168"/>
      <c r="AE49" s="110"/>
      <c r="AF49" s="168"/>
      <c r="AG49" s="427"/>
      <c r="AH49" s="749"/>
      <c r="AI49" s="688" t="s">
        <v>66</v>
      </c>
      <c r="AJ49" s="750"/>
      <c r="AK49" s="688" t="s">
        <v>66</v>
      </c>
      <c r="AL49" s="345"/>
      <c r="AM49" s="762" t="s">
        <v>454</v>
      </c>
      <c r="AN49" s="46" t="e">
        <f ca="1">STRCHECKDATE(V50:AL50)</f>
        <v>#NAME?</v>
      </c>
      <c r="AP49" s="46" t="str">
        <f t="shared" si="1"/>
        <v/>
      </c>
      <c r="AS49" s="4">
        <v>21</v>
      </c>
    </row>
    <row r="50" spans="1:45" ht="0" hidden="1" customHeight="1">
      <c r="A50" s="43" t="s">
        <v>191</v>
      </c>
      <c r="B50" s="43" t="s">
        <v>192</v>
      </c>
      <c r="C50" s="43" t="s">
        <v>193</v>
      </c>
      <c r="D50" s="43" t="s">
        <v>194</v>
      </c>
      <c r="E50" s="747"/>
      <c r="F50" s="747"/>
      <c r="G50" s="747"/>
      <c r="H50" s="747"/>
      <c r="I50" s="747"/>
      <c r="J50" s="747"/>
      <c r="K50" s="745"/>
      <c r="P50" s="748"/>
      <c r="Q50" s="748"/>
      <c r="R50" s="120"/>
      <c r="S50" s="31"/>
      <c r="T50" s="29"/>
      <c r="U50" s="29"/>
      <c r="V50" s="110"/>
      <c r="W50" s="110"/>
      <c r="X50" s="110"/>
      <c r="Y50" s="111" t="str">
        <f>Z49&amp;"-"&amp;AB49</f>
        <v>-</v>
      </c>
      <c r="Z50" s="707"/>
      <c r="AA50" s="688"/>
      <c r="AB50" s="707"/>
      <c r="AC50" s="688"/>
      <c r="AD50" s="110"/>
      <c r="AE50" s="110"/>
      <c r="AF50" s="110"/>
      <c r="AG50" s="111" t="str">
        <f>AH49&amp;"-"&amp;AJ49</f>
        <v>-</v>
      </c>
      <c r="AH50" s="707"/>
      <c r="AI50" s="688"/>
      <c r="AJ50" s="751"/>
      <c r="AK50" s="688"/>
      <c r="AL50" s="450"/>
      <c r="AM50" s="763"/>
      <c r="AP50" s="46" t="str">
        <f t="shared" si="1"/>
        <v/>
      </c>
      <c r="AS50" s="4">
        <v>0</v>
      </c>
    </row>
    <row r="51" spans="1:45" ht="11.45" customHeight="1">
      <c r="A51" s="43" t="s">
        <v>191</v>
      </c>
      <c r="B51" s="43" t="s">
        <v>192</v>
      </c>
      <c r="C51" s="43" t="s">
        <v>193</v>
      </c>
      <c r="D51" s="43" t="s">
        <v>194</v>
      </c>
      <c r="E51" s="747"/>
      <c r="F51" s="747"/>
      <c r="G51" s="747"/>
      <c r="H51" s="747"/>
      <c r="I51" s="747"/>
      <c r="J51" s="745"/>
      <c r="P51" s="748"/>
      <c r="Q51" s="748"/>
      <c r="R51" s="120"/>
      <c r="S51" s="434"/>
      <c r="T51" s="37" t="s">
        <v>414</v>
      </c>
      <c r="U51" s="58"/>
      <c r="V51" s="58"/>
      <c r="W51" s="58"/>
      <c r="X51" s="58"/>
      <c r="Y51" s="58"/>
      <c r="Z51" s="58"/>
      <c r="AA51" s="58"/>
      <c r="AB51" s="58"/>
      <c r="AC51" s="58"/>
      <c r="AD51" s="58"/>
      <c r="AE51" s="58"/>
      <c r="AF51" s="58"/>
      <c r="AG51" s="58"/>
      <c r="AH51" s="58"/>
      <c r="AI51" s="58"/>
      <c r="AJ51" s="58"/>
      <c r="AK51" s="58"/>
      <c r="AL51" s="59"/>
      <c r="AM51" s="764"/>
      <c r="AP51" s="46" t="str">
        <f t="shared" si="1"/>
        <v>Добавить вид теплоносителя (параметры теплоносителя)</v>
      </c>
      <c r="AS51" s="4">
        <v>11</v>
      </c>
    </row>
    <row r="52" spans="1:45" ht="11.45" customHeight="1">
      <c r="A52" s="43" t="s">
        <v>191</v>
      </c>
      <c r="B52" s="43" t="s">
        <v>192</v>
      </c>
      <c r="C52" s="43" t="s">
        <v>193</v>
      </c>
      <c r="D52" s="43" t="s">
        <v>194</v>
      </c>
      <c r="E52" s="747"/>
      <c r="F52" s="747"/>
      <c r="G52" s="747"/>
      <c r="H52" s="747"/>
      <c r="I52" s="745"/>
      <c r="P52" s="748"/>
      <c r="Q52" s="46"/>
      <c r="R52" s="120"/>
      <c r="S52" s="434"/>
      <c r="T52" s="37" t="s">
        <v>415</v>
      </c>
      <c r="U52" s="58"/>
      <c r="V52" s="58"/>
      <c r="W52" s="58"/>
      <c r="X52" s="58"/>
      <c r="Y52" s="58"/>
      <c r="Z52" s="58"/>
      <c r="AA52" s="58"/>
      <c r="AB52" s="58"/>
      <c r="AC52" s="54"/>
      <c r="AD52" s="58"/>
      <c r="AE52" s="58"/>
      <c r="AF52" s="58"/>
      <c r="AG52" s="58"/>
      <c r="AH52" s="58"/>
      <c r="AI52" s="58"/>
      <c r="AJ52" s="58"/>
      <c r="AK52" s="54"/>
      <c r="AL52" s="58"/>
      <c r="AM52" s="102"/>
      <c r="AP52" s="46" t="str">
        <f t="shared" si="1"/>
        <v>Добавить группу потребителей</v>
      </c>
      <c r="AS52" s="4">
        <v>11</v>
      </c>
    </row>
    <row r="53" spans="1:45" ht="0" hidden="1" customHeight="1">
      <c r="A53" s="43" t="s">
        <v>191</v>
      </c>
      <c r="B53" s="43" t="s">
        <v>192</v>
      </c>
      <c r="C53" s="43" t="s">
        <v>193</v>
      </c>
      <c r="D53" s="43" t="s">
        <v>194</v>
      </c>
      <c r="E53" s="747"/>
      <c r="F53" s="747"/>
      <c r="G53" s="747"/>
      <c r="H53" s="745"/>
      <c r="M53" s="43"/>
      <c r="N53" s="43"/>
      <c r="O53" s="43"/>
      <c r="P53" s="4"/>
      <c r="R53" s="119"/>
      <c r="S53" s="455"/>
      <c r="T53" s="354"/>
      <c r="U53" s="354"/>
      <c r="V53" s="354"/>
      <c r="W53" s="354"/>
      <c r="X53" s="354"/>
      <c r="Y53" s="354"/>
      <c r="Z53" s="354"/>
      <c r="AA53" s="354"/>
      <c r="AB53" s="354"/>
      <c r="AC53" s="354"/>
      <c r="AD53" s="354"/>
      <c r="AE53" s="354"/>
      <c r="AF53" s="354"/>
      <c r="AG53" s="354"/>
      <c r="AH53" s="354"/>
      <c r="AI53" s="354"/>
      <c r="AJ53" s="354"/>
      <c r="AK53" s="354"/>
      <c r="AL53" s="354"/>
      <c r="AM53" s="314"/>
      <c r="AP53" s="46" t="str">
        <f t="shared" si="1"/>
        <v/>
      </c>
      <c r="AS53" s="4">
        <v>0</v>
      </c>
    </row>
    <row r="54" spans="1:45" s="46" customFormat="1" ht="0" hidden="1" customHeight="1">
      <c r="A54" s="46" t="s">
        <v>191</v>
      </c>
      <c r="B54" s="46" t="s">
        <v>192</v>
      </c>
      <c r="C54" s="46" t="s">
        <v>193</v>
      </c>
      <c r="E54" s="747"/>
      <c r="F54" s="747"/>
      <c r="G54" s="745"/>
      <c r="Q54" s="446"/>
      <c r="S54" s="449"/>
      <c r="T54" s="160" t="s">
        <v>417</v>
      </c>
      <c r="U54" s="160"/>
      <c r="V54" s="160"/>
      <c r="W54" s="160"/>
      <c r="X54" s="160"/>
      <c r="Y54" s="160"/>
      <c r="Z54" s="160"/>
      <c r="AA54" s="160"/>
      <c r="AB54" s="160"/>
      <c r="AC54" s="160"/>
      <c r="AD54" s="160"/>
      <c r="AE54" s="160"/>
      <c r="AF54" s="160"/>
      <c r="AG54" s="160"/>
      <c r="AH54" s="160"/>
      <c r="AI54" s="160"/>
      <c r="AJ54" s="160"/>
      <c r="AK54" s="160"/>
      <c r="AL54" s="160"/>
      <c r="AM54" s="160"/>
      <c r="AP54" s="46" t="str">
        <f t="shared" si="1"/>
        <v>Добавить источник для дифференциации</v>
      </c>
      <c r="AS54" s="46">
        <v>0</v>
      </c>
    </row>
    <row r="55" spans="1:45" s="46" customFormat="1" ht="0" hidden="1" customHeight="1">
      <c r="A55" s="46" t="s">
        <v>191</v>
      </c>
      <c r="B55" s="46" t="s">
        <v>192</v>
      </c>
      <c r="E55" s="747"/>
      <c r="F55" s="745"/>
      <c r="M55" s="160"/>
      <c r="N55" s="160"/>
      <c r="Q55" s="446"/>
      <c r="S55" s="449"/>
      <c r="T55" s="160" t="s">
        <v>418</v>
      </c>
      <c r="U55" s="160"/>
      <c r="V55" s="160"/>
      <c r="W55" s="160"/>
      <c r="X55" s="160"/>
      <c r="Y55" s="160"/>
      <c r="Z55" s="160"/>
      <c r="AA55" s="160"/>
      <c r="AB55" s="160"/>
      <c r="AC55" s="160"/>
      <c r="AD55" s="160"/>
      <c r="AE55" s="160"/>
      <c r="AF55" s="160"/>
      <c r="AG55" s="160"/>
      <c r="AH55" s="160"/>
      <c r="AI55" s="160"/>
      <c r="AJ55" s="160"/>
      <c r="AK55" s="160"/>
      <c r="AL55" s="160"/>
      <c r="AM55" s="160"/>
      <c r="AP55" s="46" t="str">
        <f t="shared" si="1"/>
        <v>Добавить централизованную систему для дифференциации</v>
      </c>
      <c r="AS55" s="46">
        <v>0</v>
      </c>
    </row>
    <row r="56" spans="1:45" s="46" customFormat="1" ht="0" hidden="1" customHeight="1">
      <c r="A56" s="46" t="s">
        <v>191</v>
      </c>
      <c r="E56" s="745"/>
      <c r="M56" s="160"/>
      <c r="N56" s="160"/>
      <c r="Q56" s="446"/>
      <c r="S56" s="449"/>
      <c r="T56" s="160" t="s">
        <v>419</v>
      </c>
      <c r="U56" s="160"/>
      <c r="V56" s="160"/>
      <c r="W56" s="160"/>
      <c r="X56" s="160"/>
      <c r="Y56" s="160"/>
      <c r="Z56" s="160"/>
      <c r="AA56" s="160"/>
      <c r="AB56" s="160"/>
      <c r="AC56" s="160"/>
      <c r="AD56" s="160"/>
      <c r="AE56" s="160"/>
      <c r="AF56" s="160"/>
      <c r="AG56" s="160"/>
      <c r="AH56" s="160"/>
      <c r="AI56" s="160"/>
      <c r="AJ56" s="160"/>
      <c r="AK56" s="160"/>
      <c r="AL56" s="160"/>
      <c r="AM56" s="160"/>
      <c r="AP56" s="46" t="str">
        <f t="shared" si="1"/>
        <v>Добавить территорию для дифференциации</v>
      </c>
      <c r="AS56" s="46">
        <v>0</v>
      </c>
    </row>
    <row r="57" spans="1:45" s="46" customFormat="1" ht="4.1500000000000004" customHeight="1">
      <c r="M57" s="160"/>
      <c r="N57" s="160"/>
      <c r="Q57" s="446"/>
      <c r="S57" s="449"/>
      <c r="T57" s="160" t="s">
        <v>451</v>
      </c>
      <c r="U57" s="160"/>
      <c r="V57" s="160"/>
      <c r="W57" s="160"/>
      <c r="X57" s="160"/>
      <c r="Y57" s="160"/>
      <c r="Z57" s="160"/>
      <c r="AA57" s="160"/>
      <c r="AB57" s="160"/>
      <c r="AC57" s="160"/>
      <c r="AD57" s="160"/>
      <c r="AE57" s="160"/>
      <c r="AF57" s="160"/>
      <c r="AG57" s="160"/>
      <c r="AH57" s="160"/>
      <c r="AI57" s="160"/>
      <c r="AJ57" s="160"/>
      <c r="AK57" s="160"/>
      <c r="AL57" s="160"/>
      <c r="AM57" s="160"/>
      <c r="AP57" s="46" t="str">
        <f t="shared" si="1"/>
        <v>Добавить наименование тарифа</v>
      </c>
      <c r="AS57" s="46">
        <v>4</v>
      </c>
    </row>
    <row r="58" spans="1:45" ht="11.45" customHeight="1">
      <c r="M58" s="43"/>
      <c r="N58" s="43"/>
      <c r="O58" s="43"/>
      <c r="P58" s="4"/>
      <c r="Q58" s="4"/>
      <c r="R58" s="4"/>
      <c r="AN58" s="4"/>
      <c r="AO58" s="4"/>
      <c r="AP58" s="4"/>
      <c r="AQ58" s="4"/>
      <c r="AR58" s="4"/>
      <c r="AS58" s="4">
        <v>11</v>
      </c>
    </row>
    <row r="59" spans="1:45" ht="14.65" customHeight="1">
      <c r="O59" s="43"/>
      <c r="T59" s="665"/>
      <c r="U59" s="665"/>
      <c r="V59" s="665"/>
      <c r="W59" s="665"/>
      <c r="X59" s="665"/>
      <c r="Y59" s="665"/>
      <c r="Z59" s="665"/>
      <c r="AA59" s="665"/>
      <c r="AB59" s="665"/>
      <c r="AC59" s="665"/>
      <c r="AD59" s="665"/>
      <c r="AE59" s="665"/>
      <c r="AF59" s="665"/>
      <c r="AG59" s="665"/>
      <c r="AH59" s="665"/>
      <c r="AI59" s="665"/>
      <c r="AJ59" s="665"/>
      <c r="AK59" s="665"/>
      <c r="AL59" s="665"/>
      <c r="AM59" s="665"/>
      <c r="AS59" s="4">
        <v>14</v>
      </c>
    </row>
    <row r="60" spans="1:45" ht="14.65" customHeight="1">
      <c r="O60" s="43"/>
      <c r="T60" s="665"/>
      <c r="U60" s="665"/>
      <c r="V60" s="665"/>
      <c r="W60" s="665"/>
      <c r="X60" s="665"/>
      <c r="Y60" s="665"/>
      <c r="Z60" s="665"/>
      <c r="AA60" s="665"/>
      <c r="AB60" s="665"/>
      <c r="AC60" s="665"/>
      <c r="AD60" s="665"/>
      <c r="AE60" s="665"/>
      <c r="AF60" s="665"/>
      <c r="AG60" s="665"/>
      <c r="AH60" s="665"/>
      <c r="AI60" s="665"/>
      <c r="AJ60" s="665"/>
      <c r="AK60" s="665"/>
      <c r="AL60" s="665"/>
      <c r="AM60" s="665"/>
      <c r="AS60" s="4">
        <v>14</v>
      </c>
    </row>
    <row r="61" spans="1:45" ht="14.65" customHeight="1">
      <c r="O61" s="43"/>
      <c r="T61" s="665"/>
      <c r="U61" s="665"/>
      <c r="V61" s="665"/>
      <c r="W61" s="665"/>
      <c r="X61" s="665"/>
      <c r="Y61" s="665"/>
      <c r="Z61" s="665"/>
      <c r="AA61" s="665"/>
      <c r="AB61" s="665"/>
      <c r="AC61" s="665"/>
      <c r="AD61" s="665"/>
      <c r="AE61" s="665"/>
      <c r="AF61" s="665"/>
      <c r="AG61" s="665"/>
      <c r="AH61" s="665"/>
      <c r="AI61" s="665"/>
      <c r="AJ61" s="665"/>
      <c r="AK61" s="665"/>
      <c r="AL61" s="665"/>
      <c r="AM61" s="665"/>
      <c r="AS61" s="4">
        <v>14</v>
      </c>
    </row>
    <row r="62" spans="1:45" ht="14.65" customHeight="1">
      <c r="O62" s="43"/>
      <c r="AS62" s="4">
        <v>14</v>
      </c>
    </row>
    <row r="63" spans="1:45" ht="14.65" customHeight="1">
      <c r="O63" s="43"/>
      <c r="T63" s="682"/>
      <c r="U63" s="665"/>
      <c r="V63" s="665"/>
      <c r="W63" s="665"/>
      <c r="X63" s="665"/>
      <c r="Y63" s="665"/>
      <c r="Z63" s="665"/>
      <c r="AA63" s="665"/>
      <c r="AB63" s="665"/>
      <c r="AC63" s="665"/>
      <c r="AD63" s="665"/>
      <c r="AE63" s="665"/>
      <c r="AF63" s="665"/>
      <c r="AG63" s="665"/>
      <c r="AH63" s="665"/>
      <c r="AI63" s="665"/>
      <c r="AJ63" s="665"/>
      <c r="AK63" s="665"/>
      <c r="AL63" s="665"/>
      <c r="AM63" s="665"/>
      <c r="AS63" s="4">
        <v>14</v>
      </c>
    </row>
    <row r="64" spans="1:45" ht="14.65" customHeight="1">
      <c r="O64" s="43"/>
      <c r="T64" s="665"/>
      <c r="U64" s="665"/>
      <c r="V64" s="665"/>
      <c r="W64" s="665"/>
      <c r="X64" s="665"/>
      <c r="Y64" s="665"/>
      <c r="Z64" s="665"/>
      <c r="AA64" s="665"/>
      <c r="AB64" s="665"/>
      <c r="AC64" s="665"/>
      <c r="AD64" s="665"/>
      <c r="AE64" s="665"/>
      <c r="AF64" s="665"/>
      <c r="AG64" s="665"/>
      <c r="AH64" s="665"/>
      <c r="AI64" s="665"/>
      <c r="AJ64" s="665"/>
      <c r="AK64" s="665"/>
      <c r="AL64" s="665"/>
      <c r="AM64" s="665"/>
      <c r="AS64" s="4">
        <v>14</v>
      </c>
    </row>
    <row r="65" spans="1:45" ht="14.65" customHeight="1">
      <c r="T65" s="665"/>
      <c r="U65" s="665"/>
      <c r="V65" s="665"/>
      <c r="W65" s="665"/>
      <c r="X65" s="665"/>
      <c r="Y65" s="665"/>
      <c r="Z65" s="665"/>
      <c r="AA65" s="665"/>
      <c r="AB65" s="665"/>
      <c r="AC65" s="665"/>
      <c r="AD65" s="665"/>
      <c r="AE65" s="665"/>
      <c r="AF65" s="665"/>
      <c r="AG65" s="665"/>
      <c r="AH65" s="665"/>
      <c r="AI65" s="665"/>
      <c r="AJ65" s="665"/>
      <c r="AK65" s="665"/>
      <c r="AL65" s="665"/>
      <c r="AM65" s="665"/>
      <c r="AS65" s="4">
        <v>14</v>
      </c>
    </row>
    <row r="66" spans="1:45" ht="22.5" hidden="1" customHeight="1">
      <c r="A66" s="43" t="s">
        <v>82</v>
      </c>
      <c r="B66" s="43">
        <v>0</v>
      </c>
      <c r="C66" s="43">
        <v>0</v>
      </c>
      <c r="D66" s="43">
        <v>0</v>
      </c>
      <c r="E66" s="43">
        <v>0</v>
      </c>
      <c r="F66" s="43">
        <v>0</v>
      </c>
      <c r="G66" s="43">
        <v>0</v>
      </c>
      <c r="H66" s="43">
        <v>0</v>
      </c>
      <c r="I66" s="43">
        <v>0</v>
      </c>
      <c r="J66" s="43">
        <v>0</v>
      </c>
      <c r="K66" s="43">
        <v>0</v>
      </c>
      <c r="L66" s="43">
        <v>0</v>
      </c>
      <c r="M66" s="167">
        <v>0</v>
      </c>
      <c r="N66" s="167">
        <v>0</v>
      </c>
      <c r="O66" s="167">
        <v>0</v>
      </c>
      <c r="P66" s="23">
        <v>0</v>
      </c>
      <c r="Q66" s="20">
        <v>3</v>
      </c>
      <c r="R66" s="20">
        <v>3</v>
      </c>
      <c r="S66" s="4">
        <v>12</v>
      </c>
      <c r="T66" s="4">
        <v>31</v>
      </c>
      <c r="U66" s="4">
        <v>0</v>
      </c>
      <c r="V66" s="4">
        <v>0</v>
      </c>
      <c r="W66" s="4">
        <v>0</v>
      </c>
      <c r="X66" s="4">
        <v>0</v>
      </c>
      <c r="Y66" s="4">
        <v>0</v>
      </c>
      <c r="Z66" s="4">
        <v>0</v>
      </c>
      <c r="AA66" s="4">
        <v>0</v>
      </c>
      <c r="AB66" s="4">
        <v>0</v>
      </c>
      <c r="AC66" s="4">
        <v>0</v>
      </c>
      <c r="AD66" s="4">
        <v>24</v>
      </c>
      <c r="AE66" s="4">
        <v>0</v>
      </c>
      <c r="AF66" s="4">
        <v>24</v>
      </c>
      <c r="AG66" s="4">
        <v>24</v>
      </c>
      <c r="AH66" s="4">
        <v>11</v>
      </c>
      <c r="AI66" s="4">
        <v>3</v>
      </c>
      <c r="AJ66" s="4">
        <v>11</v>
      </c>
      <c r="AK66" s="4">
        <v>0</v>
      </c>
      <c r="AL66" s="4">
        <v>4</v>
      </c>
      <c r="AM66" s="4">
        <v>115</v>
      </c>
      <c r="AN66" s="46">
        <v>10</v>
      </c>
      <c r="AO66" s="46">
        <v>10</v>
      </c>
      <c r="AP66" s="46">
        <v>10</v>
      </c>
      <c r="AQ66" s="46">
        <v>10</v>
      </c>
      <c r="AR66" s="46">
        <v>10</v>
      </c>
      <c r="AS66" s="4">
        <v>23</v>
      </c>
    </row>
  </sheetData>
  <sheetProtection formatColumns="0" formatRows="0" insertRows="0" deleteColumns="0" deleteRows="0" sort="0" autoFilter="0"/>
  <mergeCells count="113">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xr:uid="{00000000-0002-0000-1100-000000000000}"/>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xr:uid="{00000000-0002-0000-1100-00000100000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xr:uid="{00000000-0002-0000-1100-000002000000}"/>
    <dataValidation type="list" allowBlank="1" showInputMessage="1" showErrorMessage="1" errorTitle="Ошибка" error="Выберите значение из списка" sqref="T65585 T131121 T196657 T262193 T327729 T393265 T458801 T524337 T589873 T655409 T720945 T786481 T852017 T917553 T983089" xr:uid="{00000000-0002-0000-1100-000003000000}">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xr:uid="{00000000-0002-0000-1100-000004000000}">
      <formula1>900</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xr:uid="{00000000-0002-0000-1100-000005000000}">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xr:uid="{00000000-0002-0000-1100-000006000000}">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xr:uid="{00000000-0002-0000-1100-00000700000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7074BE-D448-DDBA-E207-64AD9948939A}">
  <sheetPr>
    <tabColor theme="6" tint="0.39997558519241921"/>
  </sheetPr>
  <dimension ref="A1:AW72"/>
  <sheetViews>
    <sheetView showGridLines="0" zoomScale="90" workbookViewId="0">
      <pane xSplit="32" ySplit="48" topLeftCell="AG49" activePane="bottomRight" state="frozen"/>
      <selection pane="topRight" activeCell="AG1" sqref="AG1"/>
      <selection pane="bottomLeft" activeCell="A49" sqref="A49"/>
      <selection pane="bottomRight"/>
    </sheetView>
  </sheetViews>
  <sheetFormatPr defaultColWidth="10.5703125" defaultRowHeight="14.25" customHeight="1"/>
  <cols>
    <col min="1" max="1" width="10.5703125" style="4" hidden="1"/>
    <col min="2" max="2" width="11" style="4" hidden="1" customWidth="1"/>
    <col min="3" max="3" width="10.5703125" style="4" hidden="1"/>
    <col min="4" max="4" width="11.85546875" style="4" hidden="1" customWidth="1"/>
    <col min="5" max="5" width="10" style="4" hidden="1" customWidth="1"/>
    <col min="6" max="6" width="8.7109375" style="4" hidden="1" customWidth="1"/>
    <col min="7" max="7" width="7.5703125" style="4" hidden="1" customWidth="1"/>
    <col min="8" max="8" width="11.42578125" style="4" hidden="1" customWidth="1"/>
    <col min="9" max="9" width="12" style="4" hidden="1" customWidth="1"/>
    <col min="10" max="10" width="9.85546875" style="4" hidden="1" customWidth="1"/>
    <col min="11" max="12" width="11.42578125" style="4" hidden="1" customWidth="1"/>
    <col min="13" max="13" width="19.140625" style="4" hidden="1" customWidth="1"/>
    <col min="14" max="15" width="12.28515625" style="23" hidden="1" customWidth="1"/>
    <col min="16" max="16" width="23.42578125" style="23" hidden="1" customWidth="1"/>
    <col min="17" max="17" width="3.7109375" style="23" hidden="1" customWidth="1"/>
    <col min="18" max="20" width="3" style="20" customWidth="1"/>
    <col min="21" max="21" width="12" style="4" customWidth="1"/>
    <col min="22" max="22" width="31" style="4" customWidth="1"/>
    <col min="23" max="23" width="0.140625" style="4" customWidth="1"/>
    <col min="24" max="28" width="21.7109375" style="4" hidden="1" customWidth="1"/>
    <col min="29" max="29" width="11.7109375" style="4" hidden="1" customWidth="1"/>
    <col min="30" max="30" width="3.7109375" style="4" hidden="1" customWidth="1"/>
    <col min="31" max="31" width="11.7109375" style="4" hidden="1" customWidth="1"/>
    <col min="32" max="32" width="8.5703125" style="4" hidden="1" customWidth="1"/>
    <col min="33" max="33" width="21.7109375" style="4" customWidth="1"/>
    <col min="34" max="37" width="21" style="4" customWidth="1"/>
    <col min="38" max="38" width="11" style="4" customWidth="1"/>
    <col min="39" max="39" width="3.7109375" style="4" customWidth="1"/>
    <col min="40" max="40" width="11" style="4" customWidth="1"/>
    <col min="41" max="41" width="8.5703125" style="4" hidden="1" customWidth="1"/>
    <col min="42" max="42" width="4" style="4" customWidth="1"/>
    <col min="43" max="43" width="115" style="4" customWidth="1"/>
    <col min="44" max="48" width="10" style="46" customWidth="1"/>
    <col min="49" max="49" width="10.5703125" style="4" hidden="1"/>
  </cols>
  <sheetData>
    <row r="1" spans="1:49" ht="22.5" hidden="1" customHeight="1">
      <c r="AW1" s="4" t="s">
        <v>14</v>
      </c>
    </row>
    <row r="2" spans="1:49" ht="21" hidden="1" customHeight="1">
      <c r="E2" s="679">
        <v>1</v>
      </c>
      <c r="N2" s="4"/>
      <c r="O2" s="4"/>
      <c r="P2" s="4"/>
      <c r="R2" s="4"/>
      <c r="S2" s="4"/>
      <c r="T2" s="119"/>
      <c r="U2" s="24" t="e">
        <f>INDEX(PT_DIFFERENTIATION_NUM_NTAR,MATCH(A2,PT_DIFFERENTIATION_NTAR_ID,0))</f>
        <v>#N/A</v>
      </c>
      <c r="V2" s="29" t="s">
        <v>128</v>
      </c>
      <c r="W2" s="29"/>
      <c r="X2" s="742"/>
      <c r="Y2" s="743"/>
      <c r="Z2" s="743"/>
      <c r="AA2" s="743"/>
      <c r="AB2" s="743"/>
      <c r="AC2" s="743"/>
      <c r="AD2" s="743"/>
      <c r="AE2" s="743"/>
      <c r="AF2" s="744"/>
      <c r="AG2" s="742" t="e">
        <f>INDEX(PT_DIFFERENTIATION_NTAR,MATCH(A2,PT_DIFFERENTIATION_NTAR_ID,0))</f>
        <v>#N/A</v>
      </c>
      <c r="AH2" s="743"/>
      <c r="AI2" s="743"/>
      <c r="AJ2" s="743"/>
      <c r="AK2" s="743"/>
      <c r="AL2" s="743"/>
      <c r="AM2" s="743"/>
      <c r="AN2" s="743"/>
      <c r="AO2" s="743"/>
      <c r="AP2" s="744"/>
      <c r="AQ2" s="428" t="s">
        <v>399</v>
      </c>
      <c r="AT2" s="46" t="str">
        <f t="shared" ref="AT2:AT8" si="0">IF(V2="","",V2)</f>
        <v>Наименование тарифа</v>
      </c>
      <c r="AW2" s="4">
        <v>0</v>
      </c>
    </row>
    <row r="3" spans="1:49" ht="21" hidden="1" customHeight="1">
      <c r="E3" s="662"/>
      <c r="F3" s="679">
        <v>1</v>
      </c>
      <c r="N3" s="4"/>
      <c r="O3" s="4"/>
      <c r="P3" s="4"/>
      <c r="Q3" s="4"/>
      <c r="R3" s="118"/>
      <c r="S3" s="4"/>
      <c r="T3" s="119"/>
      <c r="U3" s="24" t="e">
        <f>INDEX(PT_DIFFERENTIATION_NUM_TER,MATCH(B3,PT_DIFFERENTIATION_TER_ID,0))</f>
        <v>#N/A</v>
      </c>
      <c r="V3" s="24" t="s">
        <v>400</v>
      </c>
      <c r="W3" s="29"/>
      <c r="X3" s="742"/>
      <c r="Y3" s="743"/>
      <c r="Z3" s="743"/>
      <c r="AA3" s="743"/>
      <c r="AB3" s="743"/>
      <c r="AC3" s="743"/>
      <c r="AD3" s="743"/>
      <c r="AE3" s="743"/>
      <c r="AF3" s="744"/>
      <c r="AG3" s="742" t="e">
        <f>INDEX(PT_DIFFERENTIATION_TER,MATCH(B3,PT_DIFFERENTIATION_TER_ID,0))</f>
        <v>#N/A</v>
      </c>
      <c r="AH3" s="743"/>
      <c r="AI3" s="743"/>
      <c r="AJ3" s="743"/>
      <c r="AK3" s="743"/>
      <c r="AL3" s="743"/>
      <c r="AM3" s="743"/>
      <c r="AN3" s="743"/>
      <c r="AO3" s="743"/>
      <c r="AP3" s="744"/>
      <c r="AQ3" s="428" t="s">
        <v>401</v>
      </c>
      <c r="AT3" s="46" t="str">
        <f t="shared" si="0"/>
        <v>Территория действия тарифа</v>
      </c>
      <c r="AW3" s="4">
        <v>0</v>
      </c>
    </row>
    <row r="4" spans="1:49" ht="22.5" hidden="1" customHeight="1">
      <c r="E4" s="662"/>
      <c r="F4" s="662"/>
      <c r="G4" s="679">
        <v>1</v>
      </c>
      <c r="N4" s="4"/>
      <c r="O4" s="4"/>
      <c r="P4" s="4"/>
      <c r="Q4" s="16"/>
      <c r="R4" s="118"/>
      <c r="S4" s="4"/>
      <c r="T4" s="119"/>
      <c r="U4" s="24" t="e">
        <f>INDEX(PT_DIFFERENTIATION_NUM_CS,MATCH(C4,PT_DIFFERENTIATION_CS_ID,0))</f>
        <v>#N/A</v>
      </c>
      <c r="V4" s="24" t="s">
        <v>402</v>
      </c>
      <c r="W4" s="29"/>
      <c r="X4" s="742"/>
      <c r="Y4" s="743"/>
      <c r="Z4" s="743"/>
      <c r="AA4" s="743"/>
      <c r="AB4" s="743"/>
      <c r="AC4" s="743"/>
      <c r="AD4" s="743"/>
      <c r="AE4" s="743"/>
      <c r="AF4" s="744"/>
      <c r="AG4" s="742" t="e">
        <f>INDEX(PT_DIFFERENTIATION_CS,MATCH(C4,PT_DIFFERENTIATION_CS_ID,0))</f>
        <v>#N/A</v>
      </c>
      <c r="AH4" s="743"/>
      <c r="AI4" s="743"/>
      <c r="AJ4" s="743"/>
      <c r="AK4" s="743"/>
      <c r="AL4" s="743"/>
      <c r="AM4" s="743"/>
      <c r="AN4" s="743"/>
      <c r="AO4" s="743"/>
      <c r="AP4" s="744"/>
      <c r="AQ4" s="428" t="s">
        <v>403</v>
      </c>
      <c r="AT4" s="46" t="str">
        <f t="shared" si="0"/>
        <v xml:space="preserve">Наименование системы теплоснабжения </v>
      </c>
      <c r="AW4" s="4">
        <v>0</v>
      </c>
    </row>
    <row r="5" spans="1:49" ht="21" hidden="1" customHeight="1">
      <c r="E5" s="662"/>
      <c r="F5" s="662"/>
      <c r="G5" s="662"/>
      <c r="H5" s="679">
        <v>1</v>
      </c>
      <c r="N5" s="4"/>
      <c r="O5" s="4"/>
      <c r="P5" s="4"/>
      <c r="Q5" s="16"/>
      <c r="R5" s="118"/>
      <c r="S5" s="4"/>
      <c r="T5" s="119"/>
      <c r="U5" s="24" t="e">
        <f>INDEX(PT_DIFFERENTIATION_NUM_IST_TE,MATCH(D5,PT_DIFFERENTIATION_IST_TE_ID,0))</f>
        <v>#N/A</v>
      </c>
      <c r="V5" s="24" t="s">
        <v>404</v>
      </c>
      <c r="W5" s="29"/>
      <c r="X5" s="742"/>
      <c r="Y5" s="743"/>
      <c r="Z5" s="743"/>
      <c r="AA5" s="743"/>
      <c r="AB5" s="743"/>
      <c r="AC5" s="743"/>
      <c r="AD5" s="743"/>
      <c r="AE5" s="743"/>
      <c r="AF5" s="744"/>
      <c r="AG5" s="742" t="e">
        <f>INDEX(PT_DIFFERENTIATION_IST_TE,MATCH(D5,PT_DIFFERENTIATION_IST_TE_ID,0))</f>
        <v>#N/A</v>
      </c>
      <c r="AH5" s="743"/>
      <c r="AI5" s="743"/>
      <c r="AJ5" s="743"/>
      <c r="AK5" s="743"/>
      <c r="AL5" s="743"/>
      <c r="AM5" s="743"/>
      <c r="AN5" s="743"/>
      <c r="AO5" s="743"/>
      <c r="AP5" s="744"/>
      <c r="AQ5" s="428" t="s">
        <v>405</v>
      </c>
      <c r="AT5" s="46" t="str">
        <f t="shared" si="0"/>
        <v xml:space="preserve">Источник тепловой энергии  </v>
      </c>
      <c r="AW5" s="4">
        <v>0</v>
      </c>
    </row>
    <row r="6" spans="1:49" ht="14.25" hidden="1" customHeight="1">
      <c r="E6" s="662"/>
      <c r="F6" s="662"/>
      <c r="G6" s="662"/>
      <c r="H6" s="662"/>
      <c r="I6" s="679" t="e">
        <f>U5&amp;".1"</f>
        <v>#N/A</v>
      </c>
      <c r="M6" s="4" t="s">
        <v>406</v>
      </c>
      <c r="N6" s="4"/>
      <c r="Q6" s="748">
        <v>1</v>
      </c>
      <c r="R6" s="46"/>
      <c r="S6" s="46"/>
      <c r="T6" s="120"/>
      <c r="U6" s="174"/>
      <c r="V6" s="174"/>
      <c r="W6" s="174"/>
      <c r="X6" s="768"/>
      <c r="Y6" s="769"/>
      <c r="Z6" s="769"/>
      <c r="AA6" s="769"/>
      <c r="AB6" s="769"/>
      <c r="AC6" s="769"/>
      <c r="AD6" s="769"/>
      <c r="AE6" s="769"/>
      <c r="AF6" s="770"/>
      <c r="AG6" s="768"/>
      <c r="AH6" s="769"/>
      <c r="AI6" s="769"/>
      <c r="AJ6" s="769"/>
      <c r="AK6" s="769"/>
      <c r="AL6" s="769"/>
      <c r="AM6" s="769"/>
      <c r="AN6" s="769"/>
      <c r="AO6" s="769"/>
      <c r="AP6" s="770"/>
      <c r="AQ6" s="174"/>
      <c r="AT6" s="46" t="str">
        <f t="shared" si="0"/>
        <v/>
      </c>
      <c r="AW6" s="4">
        <v>0</v>
      </c>
    </row>
    <row r="7" spans="1:49" ht="21" hidden="1" customHeight="1">
      <c r="E7" s="662"/>
      <c r="F7" s="662"/>
      <c r="G7" s="662"/>
      <c r="H7" s="662"/>
      <c r="I7" s="662"/>
      <c r="J7" s="679" t="e">
        <f>I6&amp;".1"</f>
        <v>#N/A</v>
      </c>
      <c r="M7" s="4" t="s">
        <v>409</v>
      </c>
      <c r="N7" s="4"/>
      <c r="O7" s="4"/>
      <c r="Q7" s="748"/>
      <c r="R7" s="748">
        <v>1</v>
      </c>
      <c r="S7" s="46"/>
      <c r="T7" s="120"/>
      <c r="U7" s="24" t="e">
        <f>$J7</f>
        <v>#N/A</v>
      </c>
      <c r="V7" s="24" t="s">
        <v>410</v>
      </c>
      <c r="W7" s="29"/>
      <c r="X7" s="737"/>
      <c r="Y7" s="738"/>
      <c r="Z7" s="738"/>
      <c r="AA7" s="738"/>
      <c r="AB7" s="738"/>
      <c r="AC7" s="735"/>
      <c r="AD7" s="735"/>
      <c r="AE7" s="735"/>
      <c r="AF7" s="776"/>
      <c r="AG7" s="737"/>
      <c r="AH7" s="738"/>
      <c r="AI7" s="738"/>
      <c r="AJ7" s="738"/>
      <c r="AK7" s="738"/>
      <c r="AL7" s="738"/>
      <c r="AM7" s="738"/>
      <c r="AN7" s="738"/>
      <c r="AO7" s="738"/>
      <c r="AP7" s="739"/>
      <c r="AQ7" s="428" t="s">
        <v>411</v>
      </c>
      <c r="AT7" s="46" t="str">
        <f t="shared" si="0"/>
        <v>Группа потребителей</v>
      </c>
      <c r="AW7" s="4">
        <v>0</v>
      </c>
    </row>
    <row r="8" spans="1:49" ht="21" hidden="1" customHeight="1">
      <c r="E8" s="662"/>
      <c r="F8" s="662"/>
      <c r="G8" s="662"/>
      <c r="H8" s="662"/>
      <c r="I8" s="662"/>
      <c r="J8" s="662"/>
      <c r="K8" s="679" t="e">
        <f>J7&amp;".1"</f>
        <v>#N/A</v>
      </c>
      <c r="M8" s="4" t="s">
        <v>412</v>
      </c>
      <c r="N8" s="4"/>
      <c r="O8" s="4"/>
      <c r="P8" s="4"/>
      <c r="Q8" s="748"/>
      <c r="R8" s="748"/>
      <c r="S8" s="748">
        <v>1</v>
      </c>
      <c r="T8" s="120"/>
      <c r="U8" s="24" t="e">
        <f>$K8</f>
        <v>#N/A</v>
      </c>
      <c r="V8" s="356"/>
      <c r="W8" s="29"/>
      <c r="X8" s="168"/>
      <c r="Y8" s="168"/>
      <c r="Z8" s="168"/>
      <c r="AA8" s="168"/>
      <c r="AB8" s="464"/>
      <c r="AC8" s="749"/>
      <c r="AD8" s="688" t="s">
        <v>66</v>
      </c>
      <c r="AE8" s="749"/>
      <c r="AF8" s="688" t="s">
        <v>66</v>
      </c>
      <c r="AG8" s="466"/>
      <c r="AH8" s="168"/>
      <c r="AI8" s="168"/>
      <c r="AJ8" s="168"/>
      <c r="AK8" s="427"/>
      <c r="AL8" s="749"/>
      <c r="AM8" s="688" t="s">
        <v>66</v>
      </c>
      <c r="AN8" s="749"/>
      <c r="AO8" s="688" t="s">
        <v>66</v>
      </c>
      <c r="AP8" s="110"/>
      <c r="AQ8" s="445" t="s">
        <v>455</v>
      </c>
      <c r="AR8" s="46" t="e">
        <f ca="1">STRCHECKDATE(X10:AP10)</f>
        <v>#NAME?</v>
      </c>
      <c r="AT8" s="46" t="str">
        <f t="shared" si="0"/>
        <v/>
      </c>
      <c r="AW8" s="4">
        <v>0</v>
      </c>
    </row>
    <row r="9" spans="1:49" ht="21" hidden="1" customHeight="1">
      <c r="E9" s="662"/>
      <c r="F9" s="662"/>
      <c r="G9" s="662"/>
      <c r="H9" s="662"/>
      <c r="I9" s="662"/>
      <c r="J9" s="662"/>
      <c r="K9" s="662"/>
      <c r="L9" s="679" t="e">
        <f>K8&amp;".1"</f>
        <v>#N/A</v>
      </c>
      <c r="N9" s="4"/>
      <c r="O9" s="4"/>
      <c r="P9" s="4"/>
      <c r="Q9" s="748"/>
      <c r="R9" s="748"/>
      <c r="S9" s="748"/>
      <c r="T9" s="120"/>
      <c r="U9" s="24" t="e">
        <f>$L9</f>
        <v>#N/A</v>
      </c>
      <c r="V9" s="175"/>
      <c r="W9" s="29"/>
      <c r="X9" s="110"/>
      <c r="Y9" s="168"/>
      <c r="Z9" s="168"/>
      <c r="AA9" s="168"/>
      <c r="AB9" s="464"/>
      <c r="AC9" s="707"/>
      <c r="AD9" s="688"/>
      <c r="AE9" s="707"/>
      <c r="AF9" s="688"/>
      <c r="AG9" s="466"/>
      <c r="AH9" s="168"/>
      <c r="AI9" s="168"/>
      <c r="AJ9" s="168"/>
      <c r="AK9" s="427"/>
      <c r="AL9" s="707"/>
      <c r="AM9" s="688"/>
      <c r="AN9" s="707"/>
      <c r="AO9" s="688"/>
      <c r="AP9" s="110"/>
      <c r="AQ9" s="762" t="s">
        <v>456</v>
      </c>
      <c r="AW9" s="4">
        <v>0</v>
      </c>
    </row>
    <row r="10" spans="1:49" ht="14.25" hidden="1" customHeight="1">
      <c r="E10" s="662"/>
      <c r="F10" s="662"/>
      <c r="G10" s="662"/>
      <c r="H10" s="662"/>
      <c r="I10" s="662"/>
      <c r="J10" s="662"/>
      <c r="K10" s="662"/>
      <c r="L10" s="679"/>
      <c r="N10" s="4"/>
      <c r="O10" s="4"/>
      <c r="P10" s="4"/>
      <c r="Q10" s="748"/>
      <c r="R10" s="748"/>
      <c r="S10" s="748"/>
      <c r="T10" s="120"/>
      <c r="U10" s="31"/>
      <c r="V10" s="29"/>
      <c r="W10" s="29"/>
      <c r="X10" s="110"/>
      <c r="Y10" s="110"/>
      <c r="Z10" s="110"/>
      <c r="AA10" s="110"/>
      <c r="AB10" s="465" t="str">
        <f>AC8&amp;"-"&amp;AE8</f>
        <v>-</v>
      </c>
      <c r="AC10" s="707"/>
      <c r="AD10" s="688"/>
      <c r="AE10" s="707"/>
      <c r="AF10" s="688"/>
      <c r="AG10" s="454"/>
      <c r="AH10" s="110"/>
      <c r="AI10" s="110"/>
      <c r="AJ10" s="110"/>
      <c r="AK10" s="111" t="str">
        <f>AL8&amp;"-"&amp;AN8</f>
        <v>-</v>
      </c>
      <c r="AL10" s="707"/>
      <c r="AM10" s="688"/>
      <c r="AN10" s="707"/>
      <c r="AO10" s="688"/>
      <c r="AP10" s="110"/>
      <c r="AQ10" s="763"/>
      <c r="AT10" s="46" t="str">
        <f>IF(V10="","",V10)</f>
        <v/>
      </c>
      <c r="AW10" s="4">
        <v>0</v>
      </c>
    </row>
    <row r="11" spans="1:49" ht="11.25" hidden="1" customHeight="1">
      <c r="E11" s="662"/>
      <c r="F11" s="662"/>
      <c r="G11" s="662"/>
      <c r="H11" s="662"/>
      <c r="I11" s="662"/>
      <c r="J11" s="662"/>
      <c r="K11" s="679"/>
      <c r="N11" s="4"/>
      <c r="O11" s="4"/>
      <c r="P11" s="4"/>
      <c r="Q11" s="748"/>
      <c r="R11" s="748"/>
      <c r="S11" s="748"/>
      <c r="T11" s="120"/>
      <c r="U11" s="434"/>
      <c r="V11" s="37" t="s">
        <v>457</v>
      </c>
      <c r="W11" s="185"/>
      <c r="X11" s="457"/>
      <c r="Y11" s="457"/>
      <c r="Z11" s="457"/>
      <c r="AA11" s="457"/>
      <c r="AB11" s="458"/>
      <c r="AC11" s="707"/>
      <c r="AD11" s="688"/>
      <c r="AE11" s="707"/>
      <c r="AF11" s="688"/>
      <c r="AG11" s="457"/>
      <c r="AH11" s="457"/>
      <c r="AI11" s="457"/>
      <c r="AJ11" s="457"/>
      <c r="AK11" s="458"/>
      <c r="AL11" s="707"/>
      <c r="AM11" s="688"/>
      <c r="AN11" s="707"/>
      <c r="AO11" s="688"/>
      <c r="AP11" s="459"/>
      <c r="AQ11" s="763"/>
      <c r="AW11" s="4">
        <v>0</v>
      </c>
    </row>
    <row r="12" spans="1:49" ht="15" hidden="1" customHeight="1">
      <c r="E12" s="662"/>
      <c r="F12" s="662"/>
      <c r="G12" s="662"/>
      <c r="H12" s="662"/>
      <c r="I12" s="662"/>
      <c r="J12" s="679"/>
      <c r="N12" s="4"/>
      <c r="O12" s="4"/>
      <c r="Q12" s="748"/>
      <c r="R12" s="748"/>
      <c r="S12" s="46"/>
      <c r="T12" s="120"/>
      <c r="U12" s="434"/>
      <c r="V12" s="37" t="s">
        <v>414</v>
      </c>
      <c r="W12" s="58"/>
      <c r="X12" s="58"/>
      <c r="Y12" s="58"/>
      <c r="Z12" s="58"/>
      <c r="AA12" s="58"/>
      <c r="AB12" s="58"/>
      <c r="AC12" s="467"/>
      <c r="AD12" s="467"/>
      <c r="AE12" s="467"/>
      <c r="AF12" s="467"/>
      <c r="AG12" s="58"/>
      <c r="AH12" s="58"/>
      <c r="AI12" s="58"/>
      <c r="AJ12" s="58"/>
      <c r="AK12" s="58"/>
      <c r="AL12" s="58"/>
      <c r="AM12" s="58"/>
      <c r="AN12" s="58"/>
      <c r="AO12" s="58"/>
      <c r="AP12" s="59"/>
      <c r="AQ12" s="764"/>
      <c r="AT12" s="46" t="str">
        <f t="shared" ref="AT12:AT17" si="1">IF(V12="","",V12)</f>
        <v>Добавить вид теплоносителя (параметры теплоносителя)</v>
      </c>
      <c r="AW12" s="4">
        <v>0</v>
      </c>
    </row>
    <row r="13" spans="1:49" ht="11.25" hidden="1" customHeight="1">
      <c r="E13" s="662"/>
      <c r="F13" s="662"/>
      <c r="G13" s="662"/>
      <c r="H13" s="662"/>
      <c r="I13" s="679"/>
      <c r="N13" s="4"/>
      <c r="Q13" s="748"/>
      <c r="R13" s="46"/>
      <c r="S13" s="46"/>
      <c r="T13" s="120"/>
      <c r="U13" s="434"/>
      <c r="V13" s="37" t="s">
        <v>415</v>
      </c>
      <c r="W13" s="58"/>
      <c r="X13" s="58"/>
      <c r="Y13" s="58"/>
      <c r="Z13" s="58"/>
      <c r="AA13" s="58"/>
      <c r="AB13" s="58"/>
      <c r="AC13" s="58"/>
      <c r="AD13" s="58"/>
      <c r="AE13" s="58"/>
      <c r="AF13" s="54"/>
      <c r="AG13" s="58"/>
      <c r="AH13" s="58"/>
      <c r="AI13" s="58"/>
      <c r="AJ13" s="58"/>
      <c r="AK13" s="58"/>
      <c r="AL13" s="58"/>
      <c r="AM13" s="58"/>
      <c r="AN13" s="58"/>
      <c r="AO13" s="54"/>
      <c r="AP13" s="58"/>
      <c r="AQ13" s="102"/>
      <c r="AT13" s="46" t="str">
        <f t="shared" si="1"/>
        <v>Добавить группу потребителей</v>
      </c>
      <c r="AW13" s="4">
        <v>0</v>
      </c>
    </row>
    <row r="14" spans="1:49" ht="14.25" hidden="1" customHeight="1">
      <c r="E14" s="662"/>
      <c r="F14" s="662"/>
      <c r="G14" s="662"/>
      <c r="H14" s="679"/>
      <c r="N14" s="4"/>
      <c r="O14" s="4"/>
      <c r="P14" s="4"/>
      <c r="Q14" s="4"/>
      <c r="S14" s="119"/>
      <c r="T14" s="4"/>
      <c r="U14" s="455"/>
      <c r="V14" s="354"/>
      <c r="W14" s="354"/>
      <c r="X14" s="354"/>
      <c r="Y14" s="354"/>
      <c r="Z14" s="354"/>
      <c r="AA14" s="354"/>
      <c r="AB14" s="354"/>
      <c r="AC14" s="354"/>
      <c r="AD14" s="354"/>
      <c r="AE14" s="354"/>
      <c r="AF14" s="354"/>
      <c r="AG14" s="354"/>
      <c r="AH14" s="354"/>
      <c r="AI14" s="354"/>
      <c r="AJ14" s="354"/>
      <c r="AK14" s="354"/>
      <c r="AL14" s="354"/>
      <c r="AM14" s="354"/>
      <c r="AN14" s="354"/>
      <c r="AO14" s="354"/>
      <c r="AP14" s="354"/>
      <c r="AQ14" s="314"/>
      <c r="AT14" s="46" t="str">
        <f t="shared" si="1"/>
        <v/>
      </c>
      <c r="AW14" s="4">
        <v>0</v>
      </c>
    </row>
    <row r="15" spans="1:49" s="46" customFormat="1" ht="14.25" hidden="1" customHeight="1">
      <c r="A15" s="117"/>
      <c r="B15" s="117"/>
      <c r="C15" s="117"/>
      <c r="D15" s="117"/>
      <c r="E15" s="662"/>
      <c r="F15" s="662"/>
      <c r="G15" s="679"/>
      <c r="H15" s="117"/>
      <c r="I15" s="117"/>
      <c r="J15" s="117"/>
      <c r="K15" s="117"/>
      <c r="L15" s="117"/>
      <c r="M15" s="117"/>
      <c r="N15" s="117"/>
      <c r="O15" s="117"/>
      <c r="P15" s="117"/>
      <c r="R15" s="446"/>
      <c r="U15" s="447"/>
      <c r="V15" s="448" t="s">
        <v>417</v>
      </c>
      <c r="W15" s="448"/>
      <c r="X15" s="448"/>
      <c r="Y15" s="448"/>
      <c r="Z15" s="448"/>
      <c r="AA15" s="448"/>
      <c r="AB15" s="448"/>
      <c r="AC15" s="448"/>
      <c r="AD15" s="448"/>
      <c r="AE15" s="448"/>
      <c r="AF15" s="448"/>
      <c r="AG15" s="448"/>
      <c r="AH15" s="448"/>
      <c r="AI15" s="448"/>
      <c r="AJ15" s="448"/>
      <c r="AK15" s="448"/>
      <c r="AL15" s="448"/>
      <c r="AM15" s="448"/>
      <c r="AN15" s="448"/>
      <c r="AO15" s="448"/>
      <c r="AP15" s="448"/>
      <c r="AQ15" s="448"/>
      <c r="AT15" s="46" t="str">
        <f t="shared" si="1"/>
        <v>Добавить источник для дифференциации</v>
      </c>
      <c r="AW15" s="46">
        <v>0</v>
      </c>
    </row>
    <row r="16" spans="1:49" s="46" customFormat="1" ht="14.25" hidden="1" customHeight="1">
      <c r="A16" s="117"/>
      <c r="B16" s="117"/>
      <c r="C16" s="117"/>
      <c r="D16" s="117"/>
      <c r="E16" s="662"/>
      <c r="F16" s="679"/>
      <c r="G16" s="117"/>
      <c r="H16" s="117"/>
      <c r="I16" s="117"/>
      <c r="J16" s="117"/>
      <c r="K16" s="117"/>
      <c r="L16" s="117"/>
      <c r="M16" s="117"/>
      <c r="N16" s="178"/>
      <c r="O16" s="178"/>
      <c r="P16" s="117"/>
      <c r="R16" s="446"/>
      <c r="U16" s="449"/>
      <c r="V16" s="160" t="s">
        <v>418</v>
      </c>
      <c r="W16" s="160"/>
      <c r="X16" s="160"/>
      <c r="Y16" s="160"/>
      <c r="Z16" s="160"/>
      <c r="AA16" s="160"/>
      <c r="AB16" s="160"/>
      <c r="AC16" s="160"/>
      <c r="AD16" s="160"/>
      <c r="AE16" s="160"/>
      <c r="AF16" s="160"/>
      <c r="AG16" s="160"/>
      <c r="AH16" s="160"/>
      <c r="AI16" s="160"/>
      <c r="AJ16" s="160"/>
      <c r="AK16" s="160"/>
      <c r="AL16" s="160"/>
      <c r="AM16" s="160"/>
      <c r="AN16" s="160"/>
      <c r="AO16" s="160"/>
      <c r="AP16" s="160"/>
      <c r="AQ16" s="160"/>
      <c r="AT16" s="46" t="str">
        <f t="shared" si="1"/>
        <v>Добавить централизованную систему для дифференциации</v>
      </c>
      <c r="AW16" s="46">
        <v>0</v>
      </c>
    </row>
    <row r="17" spans="1:49" s="46" customFormat="1" ht="14.25" hidden="1" customHeight="1">
      <c r="A17" s="117"/>
      <c r="B17" s="117"/>
      <c r="C17" s="117"/>
      <c r="D17" s="117"/>
      <c r="E17" s="679"/>
      <c r="F17" s="117"/>
      <c r="G17" s="117"/>
      <c r="H17" s="117"/>
      <c r="I17" s="117"/>
      <c r="J17" s="117"/>
      <c r="K17" s="117"/>
      <c r="L17" s="117"/>
      <c r="M17" s="117"/>
      <c r="N17" s="178"/>
      <c r="O17" s="178"/>
      <c r="P17" s="117"/>
      <c r="R17" s="446"/>
      <c r="U17" s="449"/>
      <c r="V17" s="160" t="s">
        <v>419</v>
      </c>
      <c r="W17" s="160"/>
      <c r="X17" s="160"/>
      <c r="Y17" s="160"/>
      <c r="Z17" s="160"/>
      <c r="AA17" s="160"/>
      <c r="AB17" s="160"/>
      <c r="AC17" s="160"/>
      <c r="AD17" s="160"/>
      <c r="AE17" s="160"/>
      <c r="AF17" s="160"/>
      <c r="AG17" s="160"/>
      <c r="AH17" s="160"/>
      <c r="AI17" s="160"/>
      <c r="AJ17" s="160"/>
      <c r="AK17" s="160"/>
      <c r="AL17" s="160"/>
      <c r="AM17" s="160"/>
      <c r="AN17" s="160"/>
      <c r="AO17" s="160"/>
      <c r="AP17" s="160"/>
      <c r="AQ17" s="160"/>
      <c r="AT17" s="46" t="str">
        <f t="shared" si="1"/>
        <v>Добавить территорию для дифференциации</v>
      </c>
      <c r="AW17" s="46">
        <v>0</v>
      </c>
    </row>
    <row r="18" spans="1:49" ht="14.25" hidden="1" customHeight="1">
      <c r="AW18" s="4">
        <v>0</v>
      </c>
    </row>
    <row r="19" spans="1:49" ht="14.25" hidden="1" customHeight="1">
      <c r="AG19" s="205"/>
      <c r="AH19" s="205"/>
      <c r="AI19" s="205"/>
      <c r="AJ19" s="205"/>
      <c r="AK19" s="451"/>
      <c r="AL19" s="746"/>
      <c r="AM19" s="745" t="s">
        <v>66</v>
      </c>
      <c r="AN19" s="746"/>
      <c r="AO19" s="745" t="s">
        <v>66</v>
      </c>
      <c r="AW19" s="4">
        <v>0</v>
      </c>
    </row>
    <row r="20" spans="1:49" ht="14.25" hidden="1" customHeight="1">
      <c r="AG20" s="205"/>
      <c r="AH20" s="205"/>
      <c r="AI20" s="205"/>
      <c r="AJ20" s="205"/>
      <c r="AK20" s="451"/>
      <c r="AL20" s="746"/>
      <c r="AM20" s="745"/>
      <c r="AN20" s="746"/>
      <c r="AO20" s="745"/>
      <c r="AW20" s="4">
        <v>0</v>
      </c>
    </row>
    <row r="21" spans="1:49" ht="14.25" hidden="1" customHeight="1">
      <c r="AG21" s="205"/>
      <c r="AH21" s="205"/>
      <c r="AI21" s="205"/>
      <c r="AJ21" s="205"/>
      <c r="AK21" s="451"/>
      <c r="AL21" s="746"/>
      <c r="AM21" s="745"/>
      <c r="AN21" s="746"/>
      <c r="AO21" s="745"/>
      <c r="AW21" s="4">
        <v>0</v>
      </c>
    </row>
    <row r="22" spans="1:49" ht="14.25" hidden="1" customHeight="1">
      <c r="AG22" s="205"/>
      <c r="AH22" s="205"/>
      <c r="AI22" s="205"/>
      <c r="AJ22" s="205"/>
      <c r="AK22" s="111" t="str">
        <f>AL19&amp;"-"&amp;AN19</f>
        <v>-</v>
      </c>
      <c r="AL22" s="745"/>
      <c r="AM22" s="745"/>
      <c r="AN22" s="745"/>
      <c r="AO22" s="745"/>
      <c r="AW22" s="4">
        <v>0</v>
      </c>
    </row>
    <row r="23" spans="1:49" ht="14.25" hidden="1" customHeight="1">
      <c r="AW23" s="4">
        <v>0</v>
      </c>
    </row>
    <row r="24" spans="1:49" s="43" customFormat="1" ht="22.5" hidden="1" customHeight="1">
      <c r="A24" s="4"/>
      <c r="B24" s="4"/>
      <c r="C24" s="4"/>
      <c r="D24" s="4"/>
      <c r="E24" s="4"/>
      <c r="F24" s="4"/>
      <c r="G24" s="4"/>
      <c r="H24" s="4"/>
      <c r="I24" s="4"/>
      <c r="J24" s="4"/>
      <c r="K24" s="4"/>
      <c r="L24" s="4"/>
      <c r="M24" s="4"/>
      <c r="N24" s="23"/>
      <c r="O24" s="23"/>
      <c r="P24" s="31" t="s">
        <v>420</v>
      </c>
      <c r="Q24" s="167"/>
      <c r="R24" s="452"/>
      <c r="S24" s="452"/>
      <c r="T24" s="452"/>
      <c r="AC24" s="261"/>
      <c r="AE24" s="261"/>
      <c r="AL24" s="261"/>
      <c r="AN24" s="261"/>
      <c r="AR24" s="46"/>
      <c r="AS24" s="46"/>
      <c r="AT24" s="46"/>
      <c r="AU24" s="46"/>
      <c r="AV24" s="46"/>
      <c r="AW24" s="43">
        <v>0</v>
      </c>
    </row>
    <row r="25" spans="1:49" s="43" customFormat="1" ht="14.25" hidden="1" customHeight="1">
      <c r="A25" s="4"/>
      <c r="B25" s="4"/>
      <c r="C25" s="4"/>
      <c r="D25" s="4"/>
      <c r="E25" s="4"/>
      <c r="F25" s="4"/>
      <c r="G25" s="4"/>
      <c r="H25" s="4"/>
      <c r="I25" s="4"/>
      <c r="J25" s="4"/>
      <c r="K25" s="4"/>
      <c r="L25" s="4"/>
      <c r="M25" s="4"/>
      <c r="N25" s="23"/>
      <c r="O25" s="23"/>
      <c r="P25" s="23"/>
      <c r="Q25" s="167"/>
      <c r="R25" s="452"/>
      <c r="S25" s="452"/>
      <c r="T25" s="452"/>
      <c r="AR25" s="46"/>
      <c r="AS25" s="46"/>
      <c r="AT25" s="46"/>
      <c r="AU25" s="46"/>
      <c r="AV25" s="46"/>
      <c r="AW25" s="43">
        <v>0</v>
      </c>
    </row>
    <row r="26" spans="1:49" s="43" customFormat="1" ht="14.25" hidden="1" customHeight="1">
      <c r="A26" s="4"/>
      <c r="B26" s="4"/>
      <c r="C26" s="4"/>
      <c r="D26" s="4"/>
      <c r="E26" s="4"/>
      <c r="F26" s="4"/>
      <c r="G26" s="4"/>
      <c r="H26" s="4"/>
      <c r="I26" s="4"/>
      <c r="J26" s="4"/>
      <c r="K26" s="4"/>
      <c r="L26" s="4"/>
      <c r="M26" s="4"/>
      <c r="N26" s="23"/>
      <c r="O26" s="23"/>
      <c r="P26" s="4" t="s">
        <v>421</v>
      </c>
      <c r="Q26" s="167"/>
      <c r="R26" s="452"/>
      <c r="S26" s="452"/>
      <c r="T26" s="452"/>
      <c r="V26" s="43" t="s">
        <v>422</v>
      </c>
      <c r="AD26" s="43" t="s">
        <v>423</v>
      </c>
      <c r="AF26" s="43" t="s">
        <v>424</v>
      </c>
      <c r="AG26" s="43" t="s">
        <v>422</v>
      </c>
      <c r="AM26" s="43" t="s">
        <v>425</v>
      </c>
      <c r="AO26" s="43" t="s">
        <v>424</v>
      </c>
      <c r="AR26" s="46"/>
      <c r="AS26" s="46"/>
      <c r="AT26" s="46"/>
      <c r="AU26" s="46"/>
      <c r="AV26" s="46"/>
      <c r="AW26" s="43">
        <v>0</v>
      </c>
    </row>
    <row r="27" spans="1:49" ht="14.25" hidden="1" customHeight="1">
      <c r="P27" s="4"/>
      <c r="AW27" s="4">
        <v>0</v>
      </c>
    </row>
    <row r="28" spans="1:49" ht="14.25" hidden="1" customHeight="1">
      <c r="P28" s="4"/>
      <c r="AW28" s="4">
        <v>0</v>
      </c>
    </row>
    <row r="29" spans="1:49" ht="14.65" customHeight="1">
      <c r="R29" s="19"/>
      <c r="S29" s="19"/>
      <c r="T29" s="19"/>
      <c r="U29" s="6"/>
      <c r="V29" s="6"/>
      <c r="W29" s="6"/>
      <c r="AW29" s="4">
        <v>14</v>
      </c>
    </row>
    <row r="30" spans="1:49" ht="56.65" customHeight="1">
      <c r="R30" s="19"/>
      <c r="S30" s="19"/>
      <c r="T30" s="19"/>
      <c r="U30" s="697"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697"/>
      <c r="W30" s="697"/>
      <c r="X30" s="697"/>
      <c r="Y30" s="697"/>
      <c r="Z30" s="697"/>
      <c r="AA30" s="697"/>
      <c r="AB30" s="697"/>
      <c r="AC30" s="697"/>
      <c r="AD30" s="697"/>
      <c r="AE30" s="697"/>
      <c r="AF30" s="697"/>
      <c r="AG30" s="697"/>
      <c r="AH30" s="697"/>
      <c r="AI30" s="697"/>
      <c r="AJ30" s="697"/>
      <c r="AK30" s="697"/>
      <c r="AL30" s="697"/>
      <c r="AM30" s="697"/>
      <c r="AN30" s="697"/>
      <c r="AO30" s="40"/>
      <c r="AW30" s="4">
        <v>54</v>
      </c>
    </row>
    <row r="31" spans="1:49" ht="14.65" customHeight="1">
      <c r="R31" s="19"/>
      <c r="S31" s="19"/>
      <c r="T31" s="19"/>
      <c r="U31" s="712" t="str">
        <f>IF(org=0,"Не определено",org)</f>
        <v>ООО "Восточная Тепловая компания"</v>
      </c>
      <c r="V31" s="712"/>
      <c r="W31" s="712"/>
      <c r="X31" s="712"/>
      <c r="Y31" s="712"/>
      <c r="Z31" s="712"/>
      <c r="AA31" s="712"/>
      <c r="AB31" s="712"/>
      <c r="AC31" s="712"/>
      <c r="AD31" s="712"/>
      <c r="AE31" s="712"/>
      <c r="AF31" s="712"/>
      <c r="AG31" s="712"/>
      <c r="AH31" s="712"/>
      <c r="AI31" s="712"/>
      <c r="AJ31" s="712"/>
      <c r="AK31" s="712"/>
      <c r="AL31" s="712"/>
      <c r="AM31" s="712"/>
      <c r="AN31" s="712"/>
      <c r="AO31" s="40"/>
      <c r="AW31" s="4">
        <v>14</v>
      </c>
    </row>
    <row r="32" spans="1:49" ht="14.25" hidden="1" customHeight="1">
      <c r="R32" s="19"/>
      <c r="S32" s="19"/>
      <c r="T32" s="19"/>
      <c r="U32" s="6"/>
      <c r="V32" s="6"/>
      <c r="W32" s="6"/>
      <c r="X32" s="109"/>
      <c r="Y32" s="109"/>
      <c r="Z32" s="109"/>
      <c r="AA32" s="109"/>
      <c r="AB32" s="109"/>
      <c r="AC32" s="109"/>
      <c r="AD32" s="109"/>
      <c r="AE32" s="109"/>
      <c r="AF32" s="109"/>
      <c r="AG32" s="109"/>
      <c r="AH32" s="109"/>
      <c r="AI32" s="109"/>
      <c r="AJ32" s="109"/>
      <c r="AK32" s="109"/>
      <c r="AL32" s="109"/>
      <c r="AM32" s="109"/>
      <c r="AN32" s="109"/>
      <c r="AO32" s="109"/>
      <c r="AW32" s="4">
        <v>0</v>
      </c>
    </row>
    <row r="33" spans="1:49" s="22" customFormat="1" ht="25.5" hidden="1" customHeight="1">
      <c r="A33" s="4"/>
      <c r="B33" s="4"/>
      <c r="C33" s="4"/>
      <c r="D33" s="4"/>
      <c r="E33" s="4"/>
      <c r="F33" s="4"/>
      <c r="G33" s="4"/>
      <c r="H33" s="4"/>
      <c r="I33" s="4"/>
      <c r="J33" s="4"/>
      <c r="K33" s="4"/>
      <c r="L33" s="4"/>
      <c r="M33" s="4"/>
      <c r="N33" s="4"/>
      <c r="O33" s="4"/>
      <c r="P33" s="4"/>
      <c r="U33" s="721" t="s">
        <v>42</v>
      </c>
      <c r="V33" s="721"/>
      <c r="W33" s="453"/>
      <c r="X33" s="741" t="str">
        <f>IF(TITLE_NAME_OR_PR_CHANGE="",IF(TITLE_NAME_OR_PR="","",TITLE_NAME_OR_PR),TITLE_NAME_OR_PR_CHANGE)</f>
        <v/>
      </c>
      <c r="Y33" s="741"/>
      <c r="Z33" s="741"/>
      <c r="AA33" s="741"/>
      <c r="AB33" s="741"/>
      <c r="AC33" s="741"/>
      <c r="AD33" s="741"/>
      <c r="AE33" s="741"/>
      <c r="AF33" s="4"/>
      <c r="AG33" s="741" t="str">
        <f>IF(TITLE_NAME_OR_PR_CHANGE="",IF(TITLE_NAME_OR_PR="","",TITLE_NAME_OR_PR),TITLE_NAME_OR_PR_CHANGE)</f>
        <v/>
      </c>
      <c r="AH33" s="741"/>
      <c r="AI33" s="741"/>
      <c r="AJ33" s="741"/>
      <c r="AK33" s="741"/>
      <c r="AL33" s="741"/>
      <c r="AM33" s="741"/>
      <c r="AN33" s="741"/>
      <c r="AO33" s="4"/>
      <c r="AP33" s="4"/>
      <c r="AQ33" s="96"/>
      <c r="AR33" s="46"/>
      <c r="AS33" s="46"/>
      <c r="AT33" s="46"/>
      <c r="AU33" s="46"/>
      <c r="AV33" s="46"/>
      <c r="AW33" s="22">
        <v>0</v>
      </c>
    </row>
    <row r="34" spans="1:49" s="22" customFormat="1" ht="18.75" hidden="1" customHeight="1">
      <c r="A34" s="4"/>
      <c r="B34" s="4"/>
      <c r="C34" s="4"/>
      <c r="D34" s="4"/>
      <c r="E34" s="4"/>
      <c r="F34" s="4"/>
      <c r="G34" s="4"/>
      <c r="H34" s="4"/>
      <c r="I34" s="4"/>
      <c r="J34" s="4"/>
      <c r="K34" s="4"/>
      <c r="L34" s="4"/>
      <c r="M34" s="4"/>
      <c r="N34" s="4"/>
      <c r="O34" s="4"/>
      <c r="P34" s="4"/>
      <c r="U34" s="721" t="s">
        <v>426</v>
      </c>
      <c r="V34" s="721"/>
      <c r="W34" s="453"/>
      <c r="X34" s="740" t="str">
        <f>IF(TITLE_DATE_PR_CHANGE="",IF(TITLE_DATE_PR="","",TITLE_DATE_PR),TITLE_DATE_PR_CHANGE)</f>
        <v/>
      </c>
      <c r="Y34" s="740"/>
      <c r="Z34" s="740"/>
      <c r="AA34" s="740"/>
      <c r="AB34" s="740"/>
      <c r="AC34" s="740"/>
      <c r="AD34" s="740"/>
      <c r="AE34" s="740"/>
      <c r="AF34" s="4"/>
      <c r="AG34" s="740" t="str">
        <f>IF(TITLE_DATE_PR_CHANGE="",IF(TITLE_DATE_PR="","",TITLE_DATE_PR),TITLE_DATE_PR_CHANGE)</f>
        <v/>
      </c>
      <c r="AH34" s="740"/>
      <c r="AI34" s="740"/>
      <c r="AJ34" s="740"/>
      <c r="AK34" s="740"/>
      <c r="AL34" s="740"/>
      <c r="AM34" s="740"/>
      <c r="AN34" s="740"/>
      <c r="AO34" s="4"/>
      <c r="AP34" s="4"/>
      <c r="AQ34" s="96"/>
      <c r="AR34" s="46"/>
      <c r="AS34" s="46"/>
      <c r="AT34" s="46"/>
      <c r="AU34" s="46"/>
      <c r="AV34" s="46"/>
      <c r="AW34" s="22">
        <v>0</v>
      </c>
    </row>
    <row r="35" spans="1:49" s="22" customFormat="1" ht="18.75" hidden="1" customHeight="1">
      <c r="A35" s="4"/>
      <c r="B35" s="4"/>
      <c r="C35" s="4"/>
      <c r="D35" s="4"/>
      <c r="E35" s="4"/>
      <c r="F35" s="4"/>
      <c r="G35" s="4"/>
      <c r="H35" s="4"/>
      <c r="I35" s="4"/>
      <c r="J35" s="4"/>
      <c r="K35" s="4"/>
      <c r="L35" s="4"/>
      <c r="M35" s="4"/>
      <c r="N35" s="4"/>
      <c r="O35" s="4"/>
      <c r="P35" s="4"/>
      <c r="U35" s="721" t="s">
        <v>427</v>
      </c>
      <c r="V35" s="721"/>
      <c r="W35" s="453"/>
      <c r="X35" s="741" t="str">
        <f>IF(TITLE_NUMBER_PR_CHANGE="",IF(TITLE_NUMBER_PR="","",TITLE_NUMBER_PR),TITLE_NUMBER_PR_CHANGE)</f>
        <v/>
      </c>
      <c r="Y35" s="741"/>
      <c r="Z35" s="741"/>
      <c r="AA35" s="741"/>
      <c r="AB35" s="741"/>
      <c r="AC35" s="741"/>
      <c r="AD35" s="741"/>
      <c r="AE35" s="741"/>
      <c r="AF35" s="4"/>
      <c r="AG35" s="741" t="str">
        <f>IF(TITLE_NUMBER_PR_CHANGE="",IF(TITLE_NUMBER_PR="","",TITLE_NUMBER_PR),TITLE_NUMBER_PR_CHANGE)</f>
        <v/>
      </c>
      <c r="AH35" s="741"/>
      <c r="AI35" s="741"/>
      <c r="AJ35" s="741"/>
      <c r="AK35" s="741"/>
      <c r="AL35" s="741"/>
      <c r="AM35" s="741"/>
      <c r="AN35" s="741"/>
      <c r="AO35" s="4"/>
      <c r="AP35" s="4"/>
      <c r="AQ35" s="96"/>
      <c r="AR35" s="46"/>
      <c r="AS35" s="46"/>
      <c r="AT35" s="46"/>
      <c r="AU35" s="46"/>
      <c r="AV35" s="46"/>
      <c r="AW35" s="22">
        <v>0</v>
      </c>
    </row>
    <row r="36" spans="1:49" s="22" customFormat="1" ht="18.75" hidden="1" customHeight="1">
      <c r="A36" s="4"/>
      <c r="B36" s="4"/>
      <c r="C36" s="4"/>
      <c r="D36" s="4"/>
      <c r="E36" s="4"/>
      <c r="F36" s="4"/>
      <c r="G36" s="4"/>
      <c r="H36" s="4"/>
      <c r="I36" s="4"/>
      <c r="J36" s="4"/>
      <c r="K36" s="4"/>
      <c r="L36" s="4"/>
      <c r="M36" s="4"/>
      <c r="N36" s="4"/>
      <c r="O36" s="4"/>
      <c r="P36" s="4"/>
      <c r="U36" s="721" t="s">
        <v>43</v>
      </c>
      <c r="V36" s="721"/>
      <c r="W36" s="453"/>
      <c r="X36" s="741" t="str">
        <f>IF(TITLE_IST_PUB_CHANGE="",IF(TITLE_IST_PUB="","",TITLE_IST_PUB),TITLE_IST_PUB_CHANGE)</f>
        <v/>
      </c>
      <c r="Y36" s="741"/>
      <c r="Z36" s="741"/>
      <c r="AA36" s="741"/>
      <c r="AB36" s="741"/>
      <c r="AC36" s="741"/>
      <c r="AD36" s="741"/>
      <c r="AE36" s="741"/>
      <c r="AF36" s="4"/>
      <c r="AG36" s="741" t="str">
        <f>IF(TITLE_IST_PUB_CHANGE="",IF(TITLE_IST_PUB="","",TITLE_IST_PUB),TITLE_IST_PUB_CHANGE)</f>
        <v/>
      </c>
      <c r="AH36" s="741"/>
      <c r="AI36" s="741"/>
      <c r="AJ36" s="741"/>
      <c r="AK36" s="741"/>
      <c r="AL36" s="741"/>
      <c r="AM36" s="741"/>
      <c r="AN36" s="741"/>
      <c r="AO36" s="4"/>
      <c r="AP36" s="4"/>
      <c r="AQ36" s="96"/>
      <c r="AR36" s="46"/>
      <c r="AS36" s="46"/>
      <c r="AT36" s="46"/>
      <c r="AU36" s="46"/>
      <c r="AV36" s="46"/>
      <c r="AW36" s="22">
        <v>0</v>
      </c>
    </row>
    <row r="37" spans="1:49" ht="14.25" hidden="1" customHeight="1">
      <c r="R37" s="19"/>
      <c r="S37" s="19"/>
      <c r="T37" s="19"/>
      <c r="U37" s="6"/>
      <c r="V37" s="6"/>
      <c r="W37" s="6"/>
      <c r="X37" s="109"/>
      <c r="Y37" s="109"/>
      <c r="Z37" s="109"/>
      <c r="AA37" s="109"/>
      <c r="AB37" s="109"/>
      <c r="AC37" s="109"/>
      <c r="AD37" s="109"/>
      <c r="AE37" s="109"/>
      <c r="AF37" s="109"/>
      <c r="AG37" s="109"/>
      <c r="AH37" s="109"/>
      <c r="AI37" s="109"/>
      <c r="AJ37" s="109"/>
      <c r="AK37" s="109"/>
      <c r="AL37" s="109"/>
      <c r="AM37" s="109"/>
      <c r="AN37" s="109"/>
      <c r="AO37" s="109"/>
      <c r="AW37" s="4">
        <v>0</v>
      </c>
    </row>
    <row r="38" spans="1:49" s="22" customFormat="1" ht="18.75" hidden="1" customHeight="1">
      <c r="A38" s="4"/>
      <c r="B38" s="4"/>
      <c r="C38" s="4"/>
      <c r="D38" s="4"/>
      <c r="E38" s="4"/>
      <c r="F38" s="4"/>
      <c r="G38" s="4"/>
      <c r="H38" s="4"/>
      <c r="I38" s="4"/>
      <c r="J38" s="4"/>
      <c r="K38" s="4"/>
      <c r="L38" s="4"/>
      <c r="M38" s="4"/>
      <c r="N38" s="4"/>
      <c r="O38" s="4"/>
      <c r="P38" s="4"/>
      <c r="U38" s="721" t="s">
        <v>428</v>
      </c>
      <c r="V38" s="721"/>
      <c r="W38" s="453"/>
      <c r="X38" s="740" t="str">
        <f>IF(TITLE_DATE_PR_CHANGE="",IF(TITLE_DATE_PR="","",TITLE_DATE_PR),TITLE_DATE_PR_CHANGE)</f>
        <v/>
      </c>
      <c r="Y38" s="740"/>
      <c r="Z38" s="740"/>
      <c r="AA38" s="740"/>
      <c r="AB38" s="740"/>
      <c r="AC38" s="740"/>
      <c r="AD38" s="740"/>
      <c r="AE38" s="740"/>
      <c r="AF38" s="4"/>
      <c r="AG38" s="740" t="str">
        <f>IF(TITLE_DATE_PR_CHANGE="",IF(TITLE_DATE_PR="","",TITLE_DATE_PR),TITLE_DATE_PR_CHANGE)</f>
        <v/>
      </c>
      <c r="AH38" s="740"/>
      <c r="AI38" s="740"/>
      <c r="AJ38" s="740"/>
      <c r="AK38" s="740"/>
      <c r="AL38" s="740"/>
      <c r="AM38" s="740"/>
      <c r="AN38" s="740"/>
      <c r="AO38" s="4"/>
      <c r="AP38" s="4"/>
      <c r="AQ38" s="96"/>
      <c r="AR38" s="46"/>
      <c r="AS38" s="46"/>
      <c r="AT38" s="46"/>
      <c r="AU38" s="46"/>
      <c r="AV38" s="46"/>
      <c r="AW38" s="22">
        <v>0</v>
      </c>
    </row>
    <row r="39" spans="1:49" s="22" customFormat="1" ht="18.75" hidden="1" customHeight="1">
      <c r="A39" s="4"/>
      <c r="B39" s="4"/>
      <c r="C39" s="4"/>
      <c r="D39" s="4"/>
      <c r="E39" s="4"/>
      <c r="F39" s="4"/>
      <c r="G39" s="4"/>
      <c r="H39" s="4"/>
      <c r="I39" s="4"/>
      <c r="J39" s="4"/>
      <c r="K39" s="4"/>
      <c r="L39" s="4"/>
      <c r="M39" s="4"/>
      <c r="N39" s="4"/>
      <c r="O39" s="4"/>
      <c r="P39" s="4"/>
      <c r="U39" s="721" t="s">
        <v>429</v>
      </c>
      <c r="V39" s="721"/>
      <c r="W39" s="453"/>
      <c r="X39" s="741" t="str">
        <f>IF(TITLE_NUMBER_PR_CHANGE="",IF(TITLE_NUMBER_PR="","",TITLE_NUMBER_PR),TITLE_NUMBER_PR_CHANGE)</f>
        <v/>
      </c>
      <c r="Y39" s="741"/>
      <c r="Z39" s="741"/>
      <c r="AA39" s="741"/>
      <c r="AB39" s="741"/>
      <c r="AC39" s="741"/>
      <c r="AD39" s="741"/>
      <c r="AE39" s="741"/>
      <c r="AF39" s="4"/>
      <c r="AG39" s="741" t="str">
        <f>IF(TITLE_NUMBER_PR_CHANGE="",IF(TITLE_NUMBER_PR="","",TITLE_NUMBER_PR),TITLE_NUMBER_PR_CHANGE)</f>
        <v/>
      </c>
      <c r="AH39" s="741"/>
      <c r="AI39" s="741"/>
      <c r="AJ39" s="741"/>
      <c r="AK39" s="741"/>
      <c r="AL39" s="741"/>
      <c r="AM39" s="741"/>
      <c r="AN39" s="741"/>
      <c r="AO39" s="4"/>
      <c r="AP39" s="4"/>
      <c r="AQ39" s="96"/>
      <c r="AR39" s="46"/>
      <c r="AS39" s="46"/>
      <c r="AT39" s="46"/>
      <c r="AU39" s="46"/>
      <c r="AV39" s="46"/>
      <c r="AW39" s="22">
        <v>0</v>
      </c>
    </row>
    <row r="40" spans="1:49" s="22" customFormat="1" ht="0" hidden="1" customHeight="1">
      <c r="A40" s="4"/>
      <c r="B40" s="4"/>
      <c r="C40" s="4"/>
      <c r="D40" s="4"/>
      <c r="E40" s="4"/>
      <c r="F40" s="4"/>
      <c r="G40" s="4"/>
      <c r="H40" s="4"/>
      <c r="I40" s="4"/>
      <c r="J40" s="4"/>
      <c r="K40" s="4"/>
      <c r="L40" s="4"/>
      <c r="M40" s="4"/>
      <c r="N40" s="4"/>
      <c r="O40" s="4"/>
      <c r="P40" s="4"/>
      <c r="U40" s="4"/>
      <c r="V40" s="4"/>
      <c r="W40" s="4"/>
      <c r="X40" s="4"/>
      <c r="Y40" s="4"/>
      <c r="Z40" s="4"/>
      <c r="AA40" s="4"/>
      <c r="AB40" s="4"/>
      <c r="AC40" s="4"/>
      <c r="AD40" s="4"/>
      <c r="AE40" s="4"/>
      <c r="AF40" s="46" t="s">
        <v>430</v>
      </c>
      <c r="AG40" s="4"/>
      <c r="AH40" s="4"/>
      <c r="AI40" s="4"/>
      <c r="AJ40" s="4"/>
      <c r="AK40" s="4"/>
      <c r="AL40" s="4"/>
      <c r="AM40" s="4"/>
      <c r="AN40" s="4"/>
      <c r="AO40" s="46" t="s">
        <v>430</v>
      </c>
      <c r="AR40" s="46"/>
      <c r="AS40" s="46"/>
      <c r="AT40" s="46"/>
      <c r="AU40" s="46"/>
      <c r="AV40" s="46"/>
      <c r="AW40" s="22">
        <v>0</v>
      </c>
    </row>
    <row r="41" spans="1:49" ht="14.65" customHeight="1">
      <c r="R41" s="19"/>
      <c r="S41" s="19"/>
      <c r="T41" s="19"/>
      <c r="U41" s="6"/>
      <c r="V41" s="6"/>
      <c r="W41" s="420"/>
      <c r="X41" s="755"/>
      <c r="Y41" s="755"/>
      <c r="Z41" s="755"/>
      <c r="AA41" s="755"/>
      <c r="AB41" s="755"/>
      <c r="AC41" s="755"/>
      <c r="AD41" s="755"/>
      <c r="AE41" s="755"/>
      <c r="AF41" s="755"/>
      <c r="AG41" s="755"/>
      <c r="AH41" s="755"/>
      <c r="AI41" s="755"/>
      <c r="AJ41" s="755"/>
      <c r="AK41" s="755"/>
      <c r="AL41" s="755"/>
      <c r="AM41" s="755"/>
      <c r="AN41" s="755"/>
      <c r="AO41" s="755"/>
      <c r="AW41" s="4">
        <v>14</v>
      </c>
    </row>
    <row r="42" spans="1:49" ht="14.65" customHeight="1">
      <c r="R42" s="19"/>
      <c r="S42" s="19"/>
      <c r="T42" s="19"/>
      <c r="U42" s="679" t="s">
        <v>303</v>
      </c>
      <c r="V42" s="679"/>
      <c r="W42" s="679"/>
      <c r="X42" s="679"/>
      <c r="Y42" s="679"/>
      <c r="Z42" s="679"/>
      <c r="AA42" s="679"/>
      <c r="AB42" s="679"/>
      <c r="AC42" s="679"/>
      <c r="AD42" s="679"/>
      <c r="AE42" s="679"/>
      <c r="AF42" s="679"/>
      <c r="AG42" s="679"/>
      <c r="AH42" s="679"/>
      <c r="AI42" s="679"/>
      <c r="AJ42" s="679"/>
      <c r="AK42" s="679"/>
      <c r="AL42" s="679"/>
      <c r="AM42" s="679"/>
      <c r="AN42" s="679"/>
      <c r="AO42" s="679"/>
      <c r="AP42" s="679"/>
      <c r="AQ42" s="679" t="s">
        <v>304</v>
      </c>
      <c r="AW42" s="4">
        <v>14</v>
      </c>
    </row>
    <row r="43" spans="1:49" ht="14.65" customHeight="1">
      <c r="R43" s="19"/>
      <c r="S43" s="19"/>
      <c r="T43" s="19"/>
      <c r="U43" s="722" t="s">
        <v>88</v>
      </c>
      <c r="V43" s="722" t="s">
        <v>431</v>
      </c>
      <c r="W43" s="100"/>
      <c r="X43" s="756" t="s">
        <v>432</v>
      </c>
      <c r="Y43" s="767"/>
      <c r="Z43" s="767"/>
      <c r="AA43" s="767"/>
      <c r="AB43" s="767"/>
      <c r="AC43" s="757"/>
      <c r="AD43" s="757"/>
      <c r="AE43" s="758"/>
      <c r="AF43" s="724" t="s">
        <v>433</v>
      </c>
      <c r="AG43" s="756" t="s">
        <v>432</v>
      </c>
      <c r="AH43" s="767"/>
      <c r="AI43" s="767"/>
      <c r="AJ43" s="767"/>
      <c r="AK43" s="767"/>
      <c r="AL43" s="757"/>
      <c r="AM43" s="757"/>
      <c r="AN43" s="758"/>
      <c r="AO43" s="724" t="s">
        <v>434</v>
      </c>
      <c r="AP43" s="759" t="s">
        <v>435</v>
      </c>
      <c r="AQ43" s="679"/>
      <c r="AW43" s="4">
        <v>14</v>
      </c>
    </row>
    <row r="44" spans="1:49" ht="35.65" customHeight="1">
      <c r="R44" s="19"/>
      <c r="S44" s="19"/>
      <c r="T44" s="19"/>
      <c r="U44" s="722"/>
      <c r="V44" s="722"/>
      <c r="W44" s="349"/>
      <c r="X44" s="674" t="s">
        <v>458</v>
      </c>
      <c r="Y44" s="679" t="s">
        <v>459</v>
      </c>
      <c r="Z44" s="679"/>
      <c r="AA44" s="679"/>
      <c r="AB44" s="679"/>
      <c r="AC44" s="674" t="s">
        <v>439</v>
      </c>
      <c r="AD44" s="697"/>
      <c r="AE44" s="672"/>
      <c r="AF44" s="725"/>
      <c r="AG44" s="674" t="s">
        <v>458</v>
      </c>
      <c r="AH44" s="679" t="s">
        <v>459</v>
      </c>
      <c r="AI44" s="679"/>
      <c r="AJ44" s="679"/>
      <c r="AK44" s="679"/>
      <c r="AL44" s="674" t="s">
        <v>439</v>
      </c>
      <c r="AM44" s="697"/>
      <c r="AN44" s="672"/>
      <c r="AO44" s="725"/>
      <c r="AP44" s="760"/>
      <c r="AQ44" s="679"/>
      <c r="AW44" s="4">
        <v>34</v>
      </c>
    </row>
    <row r="45" spans="1:49" ht="14.65" customHeight="1">
      <c r="R45" s="19"/>
      <c r="S45" s="19"/>
      <c r="T45" s="19"/>
      <c r="U45" s="722"/>
      <c r="V45" s="722"/>
      <c r="W45" s="349"/>
      <c r="X45" s="713"/>
      <c r="Y45" s="702" t="s">
        <v>460</v>
      </c>
      <c r="Z45" s="728" t="s">
        <v>461</v>
      </c>
      <c r="AA45" s="733"/>
      <c r="AB45" s="734"/>
      <c r="AC45" s="677"/>
      <c r="AD45" s="712"/>
      <c r="AE45" s="675"/>
      <c r="AF45" s="725"/>
      <c r="AG45" s="713"/>
      <c r="AH45" s="702" t="s">
        <v>460</v>
      </c>
      <c r="AI45" s="728" t="s">
        <v>461</v>
      </c>
      <c r="AJ45" s="733"/>
      <c r="AK45" s="734"/>
      <c r="AL45" s="677"/>
      <c r="AM45" s="712"/>
      <c r="AN45" s="675"/>
      <c r="AO45" s="725"/>
      <c r="AP45" s="760"/>
      <c r="AQ45" s="679"/>
      <c r="AW45" s="4">
        <v>14</v>
      </c>
    </row>
    <row r="46" spans="1:49" ht="27.4" customHeight="1">
      <c r="R46" s="19"/>
      <c r="S46" s="19"/>
      <c r="T46" s="19"/>
      <c r="U46" s="722"/>
      <c r="V46" s="722"/>
      <c r="W46" s="349"/>
      <c r="X46" s="713"/>
      <c r="Y46" s="703"/>
      <c r="Z46" s="702" t="s">
        <v>462</v>
      </c>
      <c r="AA46" s="728" t="s">
        <v>463</v>
      </c>
      <c r="AB46" s="734"/>
      <c r="AC46" s="702" t="s">
        <v>449</v>
      </c>
      <c r="AD46" s="699" t="s">
        <v>450</v>
      </c>
      <c r="AE46" s="729"/>
      <c r="AF46" s="725"/>
      <c r="AG46" s="713"/>
      <c r="AH46" s="703"/>
      <c r="AI46" s="702" t="s">
        <v>462</v>
      </c>
      <c r="AJ46" s="728" t="s">
        <v>463</v>
      </c>
      <c r="AK46" s="734"/>
      <c r="AL46" s="702" t="s">
        <v>449</v>
      </c>
      <c r="AM46" s="699" t="s">
        <v>450</v>
      </c>
      <c r="AN46" s="729"/>
      <c r="AO46" s="725"/>
      <c r="AP46" s="760"/>
      <c r="AQ46" s="679"/>
      <c r="AW46" s="4">
        <v>26</v>
      </c>
    </row>
    <row r="47" spans="1:49" ht="65.25" customHeight="1">
      <c r="B47" s="4" t="s">
        <v>140</v>
      </c>
      <c r="C47" s="4" t="s">
        <v>141</v>
      </c>
      <c r="D47" s="4" t="s">
        <v>142</v>
      </c>
      <c r="E47" s="4" t="s">
        <v>440</v>
      </c>
      <c r="F47" s="4" t="s">
        <v>441</v>
      </c>
      <c r="G47" s="4" t="s">
        <v>442</v>
      </c>
      <c r="H47" s="4" t="s">
        <v>443</v>
      </c>
      <c r="I47" s="4" t="s">
        <v>444</v>
      </c>
      <c r="J47" s="4" t="s">
        <v>445</v>
      </c>
      <c r="K47" s="4" t="s">
        <v>446</v>
      </c>
      <c r="L47" s="4" t="s">
        <v>464</v>
      </c>
      <c r="M47" s="4" t="s">
        <v>421</v>
      </c>
      <c r="R47" s="19"/>
      <c r="S47" s="19"/>
      <c r="T47" s="19"/>
      <c r="U47" s="722"/>
      <c r="V47" s="722"/>
      <c r="W47" s="101"/>
      <c r="X47" s="677"/>
      <c r="Y47" s="704"/>
      <c r="Z47" s="704"/>
      <c r="AA47" s="27" t="s">
        <v>465</v>
      </c>
      <c r="AB47" s="27" t="s">
        <v>466</v>
      </c>
      <c r="AC47" s="704"/>
      <c r="AD47" s="731"/>
      <c r="AE47" s="730"/>
      <c r="AF47" s="726"/>
      <c r="AG47" s="677"/>
      <c r="AH47" s="704"/>
      <c r="AI47" s="704"/>
      <c r="AJ47" s="27" t="s">
        <v>465</v>
      </c>
      <c r="AK47" s="27" t="s">
        <v>466</v>
      </c>
      <c r="AL47" s="704"/>
      <c r="AM47" s="731"/>
      <c r="AN47" s="730"/>
      <c r="AO47" s="726"/>
      <c r="AP47" s="761"/>
      <c r="AQ47" s="679"/>
      <c r="AW47" s="4">
        <v>62</v>
      </c>
    </row>
    <row r="48" spans="1:49" s="117" customFormat="1" ht="11.25" hidden="1" customHeight="1">
      <c r="A48" s="4"/>
      <c r="B48" s="4"/>
      <c r="C48" s="4"/>
      <c r="D48" s="4"/>
      <c r="E48" s="4"/>
      <c r="F48" s="4"/>
      <c r="G48" s="4"/>
      <c r="H48" s="4"/>
      <c r="I48" s="4"/>
      <c r="J48" s="4"/>
      <c r="K48" s="4"/>
      <c r="L48" s="4"/>
      <c r="M48" s="4"/>
      <c r="N48" s="23"/>
      <c r="O48" s="23"/>
      <c r="P48" s="23"/>
      <c r="Q48" s="178"/>
      <c r="R48" s="422"/>
      <c r="S48" s="424">
        <v>1</v>
      </c>
      <c r="T48" s="424"/>
      <c r="U48" s="425" t="s">
        <v>110</v>
      </c>
      <c r="V48" s="425" t="s">
        <v>111</v>
      </c>
      <c r="W48" s="421" t="str">
        <f ca="1">OFFSET(W48,0,-1)</f>
        <v>2</v>
      </c>
      <c r="X48" s="426">
        <f ca="1">OFFSET(X48,0,-1)+1</f>
        <v>3</v>
      </c>
      <c r="Y48" s="157"/>
      <c r="Z48" s="157"/>
      <c r="AA48" s="157">
        <f ca="1">OFFSET(AA48,0,-1)+1</f>
        <v>1</v>
      </c>
      <c r="AB48" s="157">
        <f ca="1">OFFSET(AB48,0,-1)+1</f>
        <v>2</v>
      </c>
      <c r="AC48" s="426">
        <f ca="1">OFFSET(AC48,0,-1)+1</f>
        <v>3</v>
      </c>
      <c r="AD48" s="754">
        <f ca="1">OFFSET(AD48,0,-1)+1</f>
        <v>4</v>
      </c>
      <c r="AE48" s="754"/>
      <c r="AF48" s="426">
        <f ca="1">OFFSET(AF48,0,-2)+1</f>
        <v>5</v>
      </c>
      <c r="AG48" s="426">
        <f ca="1">OFFSET(AG48,0,-1)+1</f>
        <v>6</v>
      </c>
      <c r="AH48" s="426"/>
      <c r="AI48" s="426"/>
      <c r="AJ48" s="426">
        <f ca="1">OFFSET(AJ48,0,-1)+1</f>
        <v>1</v>
      </c>
      <c r="AK48" s="426">
        <f ca="1">OFFSET(AK48,0,-1)+1</f>
        <v>2</v>
      </c>
      <c r="AL48" s="426">
        <f ca="1">OFFSET(AL48,0,-1)+1</f>
        <v>3</v>
      </c>
      <c r="AM48" s="754">
        <f ca="1">OFFSET(AM48,0,-1)+1</f>
        <v>4</v>
      </c>
      <c r="AN48" s="754"/>
      <c r="AO48" s="426">
        <f ca="1">OFFSET(AO48,0,-2)+1</f>
        <v>5</v>
      </c>
      <c r="AP48" s="421">
        <f ca="1">OFFSET(AP48,0,-1)</f>
        <v>5</v>
      </c>
      <c r="AQ48" s="426">
        <f ca="1">OFFSET(AQ48,0,-1)+1</f>
        <v>6</v>
      </c>
      <c r="AR48" s="46"/>
      <c r="AS48" s="46"/>
      <c r="AT48" s="46"/>
      <c r="AU48" s="46"/>
      <c r="AV48" s="46"/>
      <c r="AW48" s="117">
        <v>0</v>
      </c>
    </row>
    <row r="49" spans="1:49" ht="21.95" customHeight="1">
      <c r="A49" s="4" t="s">
        <v>179</v>
      </c>
      <c r="E49" s="679">
        <v>1</v>
      </c>
      <c r="N49" s="4"/>
      <c r="O49" s="4"/>
      <c r="P49" s="4"/>
      <c r="R49" s="4"/>
      <c r="S49" s="4"/>
      <c r="T49" s="119"/>
      <c r="U49" s="24">
        <f>INDEX(PT_DIFFERENTIATION_NUM_NTAR,MATCH(A49,PT_DIFFERENTIATION_NTAR_ID,0))</f>
        <v>0</v>
      </c>
      <c r="V49" s="29" t="s">
        <v>128</v>
      </c>
      <c r="W49" s="29"/>
      <c r="X49" s="742"/>
      <c r="Y49" s="743"/>
      <c r="Z49" s="743"/>
      <c r="AA49" s="743"/>
      <c r="AB49" s="743"/>
      <c r="AC49" s="743"/>
      <c r="AD49" s="743"/>
      <c r="AE49" s="743"/>
      <c r="AF49" s="744"/>
      <c r="AG49" s="742" t="str">
        <f>INDEX(PT_DIFFERENTIATION_NTAR,MATCH(A49,PT_DIFFERENTIATION_NTAR_ID,0))</f>
        <v/>
      </c>
      <c r="AH49" s="743"/>
      <c r="AI49" s="743"/>
      <c r="AJ49" s="743"/>
      <c r="AK49" s="743"/>
      <c r="AL49" s="743"/>
      <c r="AM49" s="743"/>
      <c r="AN49" s="743"/>
      <c r="AO49" s="743"/>
      <c r="AP49" s="744"/>
      <c r="AQ49" s="428"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T49" s="46" t="str">
        <f t="shared" ref="AT49:AT65" si="2">IF(V49="","",V49)</f>
        <v>Наименование тарифа</v>
      </c>
      <c r="AW49" s="4">
        <v>21</v>
      </c>
    </row>
    <row r="50" spans="1:49" ht="21.95" customHeight="1">
      <c r="A50" s="4" t="s">
        <v>179</v>
      </c>
      <c r="B50" s="4" t="s">
        <v>180</v>
      </c>
      <c r="E50" s="662"/>
      <c r="F50" s="679">
        <v>1</v>
      </c>
      <c r="N50" s="4"/>
      <c r="O50" s="4"/>
      <c r="P50" s="4"/>
      <c r="Q50" s="4"/>
      <c r="R50" s="118"/>
      <c r="S50" s="4"/>
      <c r="T50" s="119"/>
      <c r="U50" s="24" t="str">
        <f>INDEX(PT_DIFFERENTIATION_NUM_TER,MATCH(B50,PT_DIFFERENTIATION_TER_ID,0))</f>
        <v>.</v>
      </c>
      <c r="V50" s="24" t="s">
        <v>400</v>
      </c>
      <c r="W50" s="29"/>
      <c r="X50" s="742"/>
      <c r="Y50" s="743"/>
      <c r="Z50" s="743"/>
      <c r="AA50" s="743"/>
      <c r="AB50" s="743"/>
      <c r="AC50" s="743"/>
      <c r="AD50" s="743"/>
      <c r="AE50" s="743"/>
      <c r="AF50" s="744"/>
      <c r="AG50" s="742" t="str">
        <f>INDEX(PT_DIFFERENTIATION_TER,MATCH(B50,PT_DIFFERENTIATION_TER_ID,0))</f>
        <v/>
      </c>
      <c r="AH50" s="743"/>
      <c r="AI50" s="743"/>
      <c r="AJ50" s="743"/>
      <c r="AK50" s="743"/>
      <c r="AL50" s="743"/>
      <c r="AM50" s="743"/>
      <c r="AN50" s="743"/>
      <c r="AO50" s="743"/>
      <c r="AP50" s="744"/>
      <c r="AQ50" s="428" t="s">
        <v>401</v>
      </c>
      <c r="AT50" s="46" t="str">
        <f t="shared" si="2"/>
        <v>Территория действия тарифа</v>
      </c>
      <c r="AW50" s="4">
        <v>21</v>
      </c>
    </row>
    <row r="51" spans="1:49" ht="24" customHeight="1">
      <c r="A51" s="4" t="s">
        <v>179</v>
      </c>
      <c r="B51" s="4" t="s">
        <v>180</v>
      </c>
      <c r="C51" s="4" t="s">
        <v>181</v>
      </c>
      <c r="E51" s="662"/>
      <c r="F51" s="662"/>
      <c r="G51" s="679">
        <v>1</v>
      </c>
      <c r="N51" s="4"/>
      <c r="O51" s="4"/>
      <c r="P51" s="4"/>
      <c r="Q51" s="16"/>
      <c r="R51" s="118"/>
      <c r="S51" s="4"/>
      <c r="T51" s="119"/>
      <c r="U51" s="24" t="str">
        <f>INDEX(PT_DIFFERENTIATION_NUM_CS,MATCH(C51,PT_DIFFERENTIATION_CS_ID,0))</f>
        <v>..</v>
      </c>
      <c r="V51" s="24" t="s">
        <v>402</v>
      </c>
      <c r="W51" s="29"/>
      <c r="X51" s="742"/>
      <c r="Y51" s="743"/>
      <c r="Z51" s="743"/>
      <c r="AA51" s="743"/>
      <c r="AB51" s="743"/>
      <c r="AC51" s="743"/>
      <c r="AD51" s="743"/>
      <c r="AE51" s="743"/>
      <c r="AF51" s="744"/>
      <c r="AG51" s="742" t="str">
        <f>INDEX(PT_DIFFERENTIATION_CS,MATCH(C51,PT_DIFFERENTIATION_CS_ID,0))</f>
        <v/>
      </c>
      <c r="AH51" s="743"/>
      <c r="AI51" s="743"/>
      <c r="AJ51" s="743"/>
      <c r="AK51" s="743"/>
      <c r="AL51" s="743"/>
      <c r="AM51" s="743"/>
      <c r="AN51" s="743"/>
      <c r="AO51" s="743"/>
      <c r="AP51" s="744"/>
      <c r="AQ51" s="428" t="s">
        <v>403</v>
      </c>
      <c r="AT51" s="46" t="str">
        <f t="shared" si="2"/>
        <v xml:space="preserve">Наименование системы теплоснабжения </v>
      </c>
      <c r="AW51" s="4">
        <v>23</v>
      </c>
    </row>
    <row r="52" spans="1:49" ht="21.95" customHeight="1">
      <c r="A52" s="4" t="s">
        <v>179</v>
      </c>
      <c r="B52" s="4" t="s">
        <v>180</v>
      </c>
      <c r="C52" s="4" t="s">
        <v>181</v>
      </c>
      <c r="D52" s="4" t="s">
        <v>182</v>
      </c>
      <c r="E52" s="662"/>
      <c r="F52" s="662"/>
      <c r="G52" s="662"/>
      <c r="H52" s="679">
        <v>1</v>
      </c>
      <c r="N52" s="4"/>
      <c r="O52" s="4"/>
      <c r="P52" s="4"/>
      <c r="Q52" s="16"/>
      <c r="R52" s="118"/>
      <c r="S52" s="4"/>
      <c r="T52" s="119"/>
      <c r="U52" s="24" t="str">
        <f>INDEX(PT_DIFFERENTIATION_NUM_IST_TE,MATCH(D52,PT_DIFFERENTIATION_IST_TE_ID,0))</f>
        <v>...</v>
      </c>
      <c r="V52" s="24" t="s">
        <v>404</v>
      </c>
      <c r="W52" s="29"/>
      <c r="X52" s="742"/>
      <c r="Y52" s="743"/>
      <c r="Z52" s="743"/>
      <c r="AA52" s="743"/>
      <c r="AB52" s="743"/>
      <c r="AC52" s="743"/>
      <c r="AD52" s="743"/>
      <c r="AE52" s="743"/>
      <c r="AF52" s="744"/>
      <c r="AG52" s="742" t="str">
        <f>INDEX(PT_DIFFERENTIATION_IST_TE,MATCH(D52,PT_DIFFERENTIATION_IST_TE_ID,0))</f>
        <v/>
      </c>
      <c r="AH52" s="743"/>
      <c r="AI52" s="743"/>
      <c r="AJ52" s="743"/>
      <c r="AK52" s="743"/>
      <c r="AL52" s="743"/>
      <c r="AM52" s="743"/>
      <c r="AN52" s="743"/>
      <c r="AO52" s="743"/>
      <c r="AP52" s="744"/>
      <c r="AQ52" s="428" t="s">
        <v>405</v>
      </c>
      <c r="AT52" s="46" t="str">
        <f t="shared" si="2"/>
        <v xml:space="preserve">Источник тепловой энергии  </v>
      </c>
      <c r="AW52" s="4">
        <v>21</v>
      </c>
    </row>
    <row r="53" spans="1:49" s="46" customFormat="1" ht="0" hidden="1" customHeight="1">
      <c r="A53" s="117" t="s">
        <v>179</v>
      </c>
      <c r="B53" s="117" t="s">
        <v>180</v>
      </c>
      <c r="C53" s="117" t="s">
        <v>181</v>
      </c>
      <c r="D53" s="117" t="s">
        <v>182</v>
      </c>
      <c r="E53" s="662"/>
      <c r="F53" s="662"/>
      <c r="G53" s="662"/>
      <c r="H53" s="662"/>
      <c r="I53" s="679" t="str">
        <f>U52&amp;".1"</f>
        <v>....1</v>
      </c>
      <c r="J53" s="117"/>
      <c r="K53" s="117"/>
      <c r="L53" s="117"/>
      <c r="M53" s="117" t="s">
        <v>406</v>
      </c>
      <c r="N53" s="178"/>
      <c r="O53" s="178"/>
      <c r="P53" s="178"/>
      <c r="Q53" s="748">
        <v>1</v>
      </c>
      <c r="T53" s="120"/>
      <c r="U53" s="174"/>
      <c r="V53" s="174"/>
      <c r="W53" s="174"/>
      <c r="X53" s="768"/>
      <c r="Y53" s="769"/>
      <c r="Z53" s="769"/>
      <c r="AA53" s="769"/>
      <c r="AB53" s="769"/>
      <c r="AC53" s="769"/>
      <c r="AD53" s="769"/>
      <c r="AE53" s="769"/>
      <c r="AF53" s="770"/>
      <c r="AG53" s="768"/>
      <c r="AH53" s="769"/>
      <c r="AI53" s="769"/>
      <c r="AJ53" s="769"/>
      <c r="AK53" s="769"/>
      <c r="AL53" s="769"/>
      <c r="AM53" s="769"/>
      <c r="AN53" s="769"/>
      <c r="AO53" s="769"/>
      <c r="AP53" s="770"/>
      <c r="AQ53" s="174"/>
      <c r="AT53" s="46" t="str">
        <f t="shared" si="2"/>
        <v/>
      </c>
      <c r="AW53" s="46">
        <v>0</v>
      </c>
    </row>
    <row r="54" spans="1:49" ht="21.95" customHeight="1">
      <c r="A54" s="4" t="s">
        <v>179</v>
      </c>
      <c r="B54" s="4" t="s">
        <v>180</v>
      </c>
      <c r="C54" s="4" t="s">
        <v>181</v>
      </c>
      <c r="D54" s="4" t="s">
        <v>182</v>
      </c>
      <c r="E54" s="662"/>
      <c r="F54" s="662"/>
      <c r="G54" s="662"/>
      <c r="H54" s="662"/>
      <c r="I54" s="662"/>
      <c r="J54" s="679" t="str">
        <f>I53&amp;".1"</f>
        <v>....1.1</v>
      </c>
      <c r="M54" s="4" t="s">
        <v>409</v>
      </c>
      <c r="Q54" s="748"/>
      <c r="R54" s="748">
        <v>1</v>
      </c>
      <c r="S54" s="46"/>
      <c r="T54" s="120"/>
      <c r="U54" s="24" t="str">
        <f>$J54</f>
        <v>....1.1</v>
      </c>
      <c r="V54" s="24" t="s">
        <v>410</v>
      </c>
      <c r="W54" s="29"/>
      <c r="X54" s="737"/>
      <c r="Y54" s="738"/>
      <c r="Z54" s="738"/>
      <c r="AA54" s="738"/>
      <c r="AB54" s="738"/>
      <c r="AC54" s="735"/>
      <c r="AD54" s="735"/>
      <c r="AE54" s="735"/>
      <c r="AF54" s="776"/>
      <c r="AG54" s="737"/>
      <c r="AH54" s="738"/>
      <c r="AI54" s="738"/>
      <c r="AJ54" s="738"/>
      <c r="AK54" s="738"/>
      <c r="AL54" s="738"/>
      <c r="AM54" s="738"/>
      <c r="AN54" s="738"/>
      <c r="AO54" s="738"/>
      <c r="AP54" s="739"/>
      <c r="AQ54" s="428" t="s">
        <v>411</v>
      </c>
      <c r="AT54" s="46" t="str">
        <f t="shared" si="2"/>
        <v>Группа потребителей</v>
      </c>
      <c r="AW54" s="4">
        <v>21</v>
      </c>
    </row>
    <row r="55" spans="1:49" ht="21.95" customHeight="1">
      <c r="A55" s="4" t="s">
        <v>179</v>
      </c>
      <c r="B55" s="4" t="s">
        <v>180</v>
      </c>
      <c r="C55" s="4" t="s">
        <v>181</v>
      </c>
      <c r="D55" s="4" t="s">
        <v>182</v>
      </c>
      <c r="E55" s="662"/>
      <c r="F55" s="662"/>
      <c r="G55" s="662"/>
      <c r="H55" s="662"/>
      <c r="I55" s="662"/>
      <c r="J55" s="662"/>
      <c r="K55" s="679" t="str">
        <f>J54&amp;".1"</f>
        <v>....1.1.1</v>
      </c>
      <c r="M55" s="4" t="s">
        <v>412</v>
      </c>
      <c r="Q55" s="748"/>
      <c r="R55" s="748"/>
      <c r="S55" s="46">
        <v>1</v>
      </c>
      <c r="T55" s="120"/>
      <c r="U55" s="24" t="str">
        <f>$K55</f>
        <v>....1.1.1</v>
      </c>
      <c r="V55" s="356"/>
      <c r="W55" s="29"/>
      <c r="X55" s="168"/>
      <c r="Y55" s="168"/>
      <c r="Z55" s="168"/>
      <c r="AA55" s="168"/>
      <c r="AB55" s="464"/>
      <c r="AC55" s="749"/>
      <c r="AD55" s="688" t="s">
        <v>66</v>
      </c>
      <c r="AE55" s="749"/>
      <c r="AF55" s="688" t="s">
        <v>66</v>
      </c>
      <c r="AG55" s="466"/>
      <c r="AH55" s="168"/>
      <c r="AI55" s="168"/>
      <c r="AJ55" s="168"/>
      <c r="AK55" s="427"/>
      <c r="AL55" s="749"/>
      <c r="AM55" s="688" t="s">
        <v>66</v>
      </c>
      <c r="AN55" s="749"/>
      <c r="AO55" s="688" t="s">
        <v>66</v>
      </c>
      <c r="AP55" s="345"/>
      <c r="AQ55" s="445" t="s">
        <v>455</v>
      </c>
      <c r="AR55" s="46" t="e">
        <f ca="1">STRCHECKDATE(X57:AP57)</f>
        <v>#NAME?</v>
      </c>
      <c r="AT55" s="46" t="str">
        <f t="shared" si="2"/>
        <v/>
      </c>
      <c r="AW55" s="4">
        <v>21</v>
      </c>
    </row>
    <row r="56" spans="1:49" ht="11.45" customHeight="1">
      <c r="A56" s="4" t="s">
        <v>179</v>
      </c>
      <c r="B56" s="4" t="s">
        <v>180</v>
      </c>
      <c r="C56" s="4" t="s">
        <v>181</v>
      </c>
      <c r="D56" s="4" t="s">
        <v>182</v>
      </c>
      <c r="E56" s="662"/>
      <c r="F56" s="662"/>
      <c r="G56" s="662"/>
      <c r="H56" s="662"/>
      <c r="I56" s="662"/>
      <c r="J56" s="662"/>
      <c r="K56" s="662"/>
      <c r="L56" s="679" t="str">
        <f>K55&amp;".1"</f>
        <v>....1.1.1.1</v>
      </c>
      <c r="Q56" s="748"/>
      <c r="R56" s="748"/>
      <c r="S56" s="46">
        <v>1</v>
      </c>
      <c r="T56" s="120"/>
      <c r="U56" s="24" t="str">
        <f>$L56</f>
        <v>....1.1.1.1</v>
      </c>
      <c r="V56" s="175"/>
      <c r="W56" s="29"/>
      <c r="X56" s="110"/>
      <c r="Y56" s="168"/>
      <c r="Z56" s="168"/>
      <c r="AA56" s="168"/>
      <c r="AB56" s="464"/>
      <c r="AC56" s="707"/>
      <c r="AD56" s="688"/>
      <c r="AE56" s="707"/>
      <c r="AF56" s="688"/>
      <c r="AG56" s="466"/>
      <c r="AH56" s="168"/>
      <c r="AI56" s="168"/>
      <c r="AJ56" s="168"/>
      <c r="AK56" s="427"/>
      <c r="AL56" s="707"/>
      <c r="AM56" s="688"/>
      <c r="AN56" s="707"/>
      <c r="AO56" s="688"/>
      <c r="AP56" s="345"/>
      <c r="AQ56" s="762" t="s">
        <v>456</v>
      </c>
      <c r="AR56" s="46" t="e">
        <f ca="1">STRCHECKDATE(X58:AP58)</f>
        <v>#NAME?</v>
      </c>
      <c r="AT56" s="46" t="str">
        <f t="shared" si="2"/>
        <v/>
      </c>
      <c r="AW56" s="4">
        <v>11</v>
      </c>
    </row>
    <row r="57" spans="1:49" ht="0" hidden="1" customHeight="1">
      <c r="A57" s="4" t="s">
        <v>179</v>
      </c>
      <c r="B57" s="4" t="s">
        <v>180</v>
      </c>
      <c r="C57" s="4" t="s">
        <v>181</v>
      </c>
      <c r="D57" s="4" t="s">
        <v>182</v>
      </c>
      <c r="E57" s="662"/>
      <c r="F57" s="662"/>
      <c r="G57" s="662"/>
      <c r="H57" s="662"/>
      <c r="I57" s="662"/>
      <c r="J57" s="662"/>
      <c r="K57" s="662"/>
      <c r="L57" s="679"/>
      <c r="Q57" s="748"/>
      <c r="R57" s="748"/>
      <c r="S57" s="46"/>
      <c r="T57" s="120"/>
      <c r="U57" s="31"/>
      <c r="V57" s="29"/>
      <c r="W57" s="29"/>
      <c r="X57" s="110"/>
      <c r="Y57" s="110"/>
      <c r="Z57" s="110"/>
      <c r="AA57" s="110"/>
      <c r="AB57" s="465" t="str">
        <f>AC55&amp;"-"&amp;AE55</f>
        <v>-</v>
      </c>
      <c r="AC57" s="707"/>
      <c r="AD57" s="688"/>
      <c r="AE57" s="707"/>
      <c r="AF57" s="688"/>
      <c r="AG57" s="454"/>
      <c r="AH57" s="110"/>
      <c r="AI57" s="110"/>
      <c r="AJ57" s="110"/>
      <c r="AK57" s="111" t="str">
        <f>AL55&amp;"-"&amp;AN55</f>
        <v>-</v>
      </c>
      <c r="AL57" s="707"/>
      <c r="AM57" s="688"/>
      <c r="AN57" s="707"/>
      <c r="AO57" s="688"/>
      <c r="AP57" s="450"/>
      <c r="AQ57" s="763"/>
      <c r="AT57" s="46" t="str">
        <f t="shared" si="2"/>
        <v/>
      </c>
      <c r="AW57" s="4">
        <v>0</v>
      </c>
    </row>
    <row r="58" spans="1:49" ht="11.45" customHeight="1">
      <c r="A58" s="4" t="s">
        <v>179</v>
      </c>
      <c r="B58" s="4" t="s">
        <v>180</v>
      </c>
      <c r="C58" s="4" t="s">
        <v>181</v>
      </c>
      <c r="D58" s="4" t="s">
        <v>182</v>
      </c>
      <c r="E58" s="662"/>
      <c r="F58" s="662"/>
      <c r="G58" s="662"/>
      <c r="H58" s="662"/>
      <c r="I58" s="662"/>
      <c r="J58" s="662"/>
      <c r="K58" s="679"/>
      <c r="Q58" s="748"/>
      <c r="R58" s="748"/>
      <c r="S58" s="46"/>
      <c r="T58" s="120"/>
      <c r="U58" s="434"/>
      <c r="V58" s="37" t="s">
        <v>457</v>
      </c>
      <c r="W58" s="58"/>
      <c r="X58" s="58"/>
      <c r="Y58" s="58"/>
      <c r="Z58" s="58"/>
      <c r="AA58" s="58"/>
      <c r="AB58" s="58"/>
      <c r="AC58" s="707"/>
      <c r="AD58" s="688"/>
      <c r="AE58" s="707"/>
      <c r="AF58" s="688"/>
      <c r="AG58" s="58"/>
      <c r="AH58" s="58"/>
      <c r="AI58" s="58"/>
      <c r="AJ58" s="58"/>
      <c r="AK58" s="58"/>
      <c r="AL58" s="707"/>
      <c r="AM58" s="688"/>
      <c r="AN58" s="707"/>
      <c r="AO58" s="688"/>
      <c r="AP58" s="59"/>
      <c r="AQ58" s="763"/>
      <c r="AT58" s="46" t="str">
        <f t="shared" si="2"/>
        <v>Добавить наименование поставщика</v>
      </c>
      <c r="AW58" s="4">
        <v>11</v>
      </c>
    </row>
    <row r="59" spans="1:49" ht="11.45" customHeight="1">
      <c r="A59" s="4" t="s">
        <v>179</v>
      </c>
      <c r="B59" s="4" t="s">
        <v>180</v>
      </c>
      <c r="C59" s="4" t="s">
        <v>181</v>
      </c>
      <c r="D59" s="4" t="s">
        <v>182</v>
      </c>
      <c r="E59" s="662"/>
      <c r="F59" s="662"/>
      <c r="G59" s="662"/>
      <c r="H59" s="662"/>
      <c r="I59" s="662"/>
      <c r="J59" s="679"/>
      <c r="Q59" s="748"/>
      <c r="R59" s="748"/>
      <c r="S59" s="46"/>
      <c r="T59" s="120"/>
      <c r="U59" s="434"/>
      <c r="V59" s="37" t="s">
        <v>414</v>
      </c>
      <c r="W59" s="58"/>
      <c r="X59" s="58"/>
      <c r="Y59" s="58"/>
      <c r="Z59" s="58"/>
      <c r="AA59" s="58"/>
      <c r="AB59" s="58"/>
      <c r="AC59" s="467"/>
      <c r="AD59" s="467"/>
      <c r="AE59" s="467"/>
      <c r="AF59" s="467"/>
      <c r="AG59" s="58"/>
      <c r="AH59" s="58"/>
      <c r="AI59" s="58"/>
      <c r="AJ59" s="58"/>
      <c r="AK59" s="58"/>
      <c r="AL59" s="58"/>
      <c r="AM59" s="58"/>
      <c r="AN59" s="58"/>
      <c r="AO59" s="58"/>
      <c r="AP59" s="59"/>
      <c r="AQ59" s="764"/>
      <c r="AT59" s="46" t="str">
        <f t="shared" si="2"/>
        <v>Добавить вид теплоносителя (параметры теплоносителя)</v>
      </c>
      <c r="AW59" s="4">
        <v>11</v>
      </c>
    </row>
    <row r="60" spans="1:49" ht="11.45" customHeight="1">
      <c r="A60" s="4" t="s">
        <v>179</v>
      </c>
      <c r="B60" s="4" t="s">
        <v>180</v>
      </c>
      <c r="C60" s="4" t="s">
        <v>181</v>
      </c>
      <c r="D60" s="4" t="s">
        <v>182</v>
      </c>
      <c r="E60" s="662"/>
      <c r="F60" s="662"/>
      <c r="G60" s="662"/>
      <c r="H60" s="662"/>
      <c r="I60" s="679"/>
      <c r="Q60" s="748"/>
      <c r="R60" s="46"/>
      <c r="S60" s="46"/>
      <c r="T60" s="120"/>
      <c r="U60" s="434"/>
      <c r="V60" s="37" t="s">
        <v>415</v>
      </c>
      <c r="W60" s="58"/>
      <c r="X60" s="58"/>
      <c r="Y60" s="58"/>
      <c r="Z60" s="58"/>
      <c r="AA60" s="58"/>
      <c r="AB60" s="58"/>
      <c r="AC60" s="58"/>
      <c r="AD60" s="58"/>
      <c r="AE60" s="58"/>
      <c r="AF60" s="54"/>
      <c r="AG60" s="58"/>
      <c r="AH60" s="58"/>
      <c r="AI60" s="58"/>
      <c r="AJ60" s="58"/>
      <c r="AK60" s="58"/>
      <c r="AL60" s="58"/>
      <c r="AM60" s="58"/>
      <c r="AN60" s="58"/>
      <c r="AO60" s="54"/>
      <c r="AP60" s="58"/>
      <c r="AQ60" s="102"/>
      <c r="AT60" s="46" t="str">
        <f t="shared" si="2"/>
        <v>Добавить группу потребителей</v>
      </c>
      <c r="AW60" s="4">
        <v>11</v>
      </c>
    </row>
    <row r="61" spans="1:49" ht="0" hidden="1" customHeight="1">
      <c r="A61" s="4" t="s">
        <v>179</v>
      </c>
      <c r="B61" s="4" t="s">
        <v>180</v>
      </c>
      <c r="C61" s="4" t="s">
        <v>181</v>
      </c>
      <c r="D61" s="4" t="s">
        <v>182</v>
      </c>
      <c r="E61" s="662"/>
      <c r="F61" s="662"/>
      <c r="G61" s="662"/>
      <c r="H61" s="679"/>
      <c r="N61" s="4"/>
      <c r="O61" s="4"/>
      <c r="P61" s="4"/>
      <c r="Q61" s="4"/>
      <c r="S61" s="119"/>
      <c r="T61" s="4"/>
      <c r="U61" s="455"/>
      <c r="V61" s="354"/>
      <c r="W61" s="354"/>
      <c r="X61" s="354"/>
      <c r="Y61" s="354"/>
      <c r="Z61" s="354"/>
      <c r="AA61" s="354"/>
      <c r="AB61" s="354"/>
      <c r="AC61" s="354"/>
      <c r="AD61" s="354"/>
      <c r="AE61" s="354"/>
      <c r="AF61" s="354"/>
      <c r="AG61" s="354"/>
      <c r="AH61" s="354"/>
      <c r="AI61" s="354"/>
      <c r="AJ61" s="354"/>
      <c r="AK61" s="354"/>
      <c r="AL61" s="354"/>
      <c r="AM61" s="354"/>
      <c r="AN61" s="354"/>
      <c r="AO61" s="354"/>
      <c r="AP61" s="354"/>
      <c r="AQ61" s="314"/>
      <c r="AT61" s="46" t="str">
        <f t="shared" si="2"/>
        <v/>
      </c>
      <c r="AW61" s="4">
        <v>0</v>
      </c>
    </row>
    <row r="62" spans="1:49" s="46" customFormat="1" ht="0" hidden="1" customHeight="1">
      <c r="A62" s="117" t="s">
        <v>179</v>
      </c>
      <c r="B62" s="117" t="s">
        <v>180</v>
      </c>
      <c r="C62" s="117" t="s">
        <v>181</v>
      </c>
      <c r="D62" s="117"/>
      <c r="E62" s="662"/>
      <c r="F62" s="662"/>
      <c r="G62" s="679"/>
      <c r="H62" s="117"/>
      <c r="I62" s="117"/>
      <c r="J62" s="117"/>
      <c r="K62" s="117"/>
      <c r="L62" s="117"/>
      <c r="M62" s="117"/>
      <c r="N62" s="117"/>
      <c r="O62" s="117"/>
      <c r="P62" s="117"/>
      <c r="R62" s="446"/>
      <c r="U62" s="449"/>
      <c r="V62" s="160" t="s">
        <v>417</v>
      </c>
      <c r="W62" s="160"/>
      <c r="X62" s="160"/>
      <c r="Y62" s="160"/>
      <c r="Z62" s="160"/>
      <c r="AA62" s="160"/>
      <c r="AB62" s="160"/>
      <c r="AC62" s="160"/>
      <c r="AD62" s="160"/>
      <c r="AE62" s="160"/>
      <c r="AF62" s="160"/>
      <c r="AG62" s="160"/>
      <c r="AH62" s="160"/>
      <c r="AI62" s="160"/>
      <c r="AJ62" s="160"/>
      <c r="AK62" s="160"/>
      <c r="AL62" s="160"/>
      <c r="AM62" s="160"/>
      <c r="AN62" s="160"/>
      <c r="AO62" s="160"/>
      <c r="AP62" s="160"/>
      <c r="AQ62" s="160"/>
      <c r="AT62" s="46" t="str">
        <f t="shared" si="2"/>
        <v>Добавить источник для дифференциации</v>
      </c>
      <c r="AW62" s="46">
        <v>0</v>
      </c>
    </row>
    <row r="63" spans="1:49" s="46" customFormat="1" ht="0" hidden="1" customHeight="1">
      <c r="A63" s="117" t="s">
        <v>179</v>
      </c>
      <c r="B63" s="117" t="s">
        <v>180</v>
      </c>
      <c r="C63" s="117"/>
      <c r="D63" s="117"/>
      <c r="E63" s="662"/>
      <c r="F63" s="679"/>
      <c r="G63" s="117"/>
      <c r="H63" s="117"/>
      <c r="I63" s="117"/>
      <c r="J63" s="117"/>
      <c r="K63" s="117"/>
      <c r="L63" s="117"/>
      <c r="M63" s="117"/>
      <c r="N63" s="178"/>
      <c r="O63" s="178"/>
      <c r="P63" s="117"/>
      <c r="R63" s="446"/>
      <c r="U63" s="449"/>
      <c r="V63" s="160" t="s">
        <v>418</v>
      </c>
      <c r="W63" s="160"/>
      <c r="X63" s="160"/>
      <c r="Y63" s="160"/>
      <c r="Z63" s="160"/>
      <c r="AA63" s="160"/>
      <c r="AB63" s="160"/>
      <c r="AC63" s="160"/>
      <c r="AD63" s="160"/>
      <c r="AE63" s="160"/>
      <c r="AF63" s="160"/>
      <c r="AG63" s="160"/>
      <c r="AH63" s="160"/>
      <c r="AI63" s="160"/>
      <c r="AJ63" s="160"/>
      <c r="AK63" s="160"/>
      <c r="AL63" s="160"/>
      <c r="AM63" s="160"/>
      <c r="AN63" s="160"/>
      <c r="AO63" s="160"/>
      <c r="AP63" s="160"/>
      <c r="AQ63" s="160"/>
      <c r="AT63" s="46" t="str">
        <f t="shared" si="2"/>
        <v>Добавить централизованную систему для дифференциации</v>
      </c>
      <c r="AW63" s="46">
        <v>0</v>
      </c>
    </row>
    <row r="64" spans="1:49" s="46" customFormat="1" ht="0" hidden="1" customHeight="1">
      <c r="A64" s="117" t="s">
        <v>179</v>
      </c>
      <c r="B64" s="117"/>
      <c r="C64" s="117"/>
      <c r="D64" s="117"/>
      <c r="E64" s="679"/>
      <c r="F64" s="117"/>
      <c r="G64" s="117"/>
      <c r="H64" s="117"/>
      <c r="I64" s="117"/>
      <c r="J64" s="117"/>
      <c r="K64" s="117"/>
      <c r="L64" s="117"/>
      <c r="M64" s="117"/>
      <c r="N64" s="178"/>
      <c r="O64" s="178"/>
      <c r="P64" s="117"/>
      <c r="R64" s="446"/>
      <c r="U64" s="449"/>
      <c r="V64" s="160" t="s">
        <v>419</v>
      </c>
      <c r="W64" s="160"/>
      <c r="X64" s="160"/>
      <c r="Y64" s="160"/>
      <c r="Z64" s="160"/>
      <c r="AA64" s="160"/>
      <c r="AB64" s="160"/>
      <c r="AC64" s="160"/>
      <c r="AD64" s="160"/>
      <c r="AE64" s="160"/>
      <c r="AF64" s="160"/>
      <c r="AG64" s="160"/>
      <c r="AH64" s="160"/>
      <c r="AI64" s="160"/>
      <c r="AJ64" s="160"/>
      <c r="AK64" s="160"/>
      <c r="AL64" s="160"/>
      <c r="AM64" s="160"/>
      <c r="AN64" s="160"/>
      <c r="AO64" s="160"/>
      <c r="AP64" s="160"/>
      <c r="AQ64" s="160"/>
      <c r="AT64" s="46" t="str">
        <f t="shared" si="2"/>
        <v>Добавить территорию для дифференциации</v>
      </c>
      <c r="AW64" s="46">
        <v>0</v>
      </c>
    </row>
    <row r="65" spans="1:49" s="46" customFormat="1" ht="4.1500000000000004" customHeight="1">
      <c r="A65" s="117"/>
      <c r="B65" s="117"/>
      <c r="C65" s="117"/>
      <c r="D65" s="117"/>
      <c r="E65" s="117"/>
      <c r="F65" s="117"/>
      <c r="G65" s="117"/>
      <c r="H65" s="117"/>
      <c r="I65" s="117"/>
      <c r="J65" s="117"/>
      <c r="K65" s="117"/>
      <c r="L65" s="117"/>
      <c r="M65" s="117"/>
      <c r="N65" s="178"/>
      <c r="O65" s="178"/>
      <c r="P65" s="117"/>
      <c r="R65" s="446"/>
      <c r="U65" s="449"/>
      <c r="V65" s="160" t="s">
        <v>451</v>
      </c>
      <c r="W65" s="160"/>
      <c r="X65" s="160"/>
      <c r="Y65" s="160"/>
      <c r="Z65" s="160"/>
      <c r="AA65" s="160"/>
      <c r="AB65" s="160"/>
      <c r="AC65" s="160"/>
      <c r="AD65" s="160"/>
      <c r="AE65" s="160"/>
      <c r="AF65" s="160"/>
      <c r="AG65" s="160"/>
      <c r="AH65" s="160"/>
      <c r="AI65" s="160"/>
      <c r="AJ65" s="160"/>
      <c r="AK65" s="160"/>
      <c r="AL65" s="160"/>
      <c r="AM65" s="160"/>
      <c r="AN65" s="160"/>
      <c r="AO65" s="160"/>
      <c r="AP65" s="160"/>
      <c r="AQ65" s="160"/>
      <c r="AT65" s="46" t="str">
        <f t="shared" si="2"/>
        <v>Добавить наименование тарифа</v>
      </c>
      <c r="AW65" s="46">
        <v>4</v>
      </c>
    </row>
    <row r="66" spans="1:49" ht="11.45" customHeight="1">
      <c r="N66" s="4"/>
      <c r="O66" s="4"/>
      <c r="P66" s="4"/>
      <c r="Q66" s="4"/>
      <c r="R66" s="4"/>
      <c r="S66" s="4"/>
      <c r="T66" s="4"/>
      <c r="AR66" s="4"/>
      <c r="AS66" s="4"/>
      <c r="AT66" s="4"/>
      <c r="AU66" s="4"/>
      <c r="AV66" s="4"/>
      <c r="AW66" s="4">
        <v>11</v>
      </c>
    </row>
    <row r="67" spans="1:49" ht="35.65" customHeight="1">
      <c r="P67" s="4"/>
      <c r="V67" s="665"/>
      <c r="W67" s="665"/>
      <c r="X67" s="665"/>
      <c r="Y67" s="665"/>
      <c r="Z67" s="665"/>
      <c r="AA67" s="665"/>
      <c r="AB67" s="665"/>
      <c r="AC67" s="665"/>
      <c r="AD67" s="665"/>
      <c r="AE67" s="665"/>
      <c r="AF67" s="665"/>
      <c r="AG67" s="665"/>
      <c r="AH67" s="665"/>
      <c r="AI67" s="665"/>
      <c r="AJ67" s="665"/>
      <c r="AK67" s="665"/>
      <c r="AL67" s="665"/>
      <c r="AM67" s="665"/>
      <c r="AN67" s="665"/>
      <c r="AO67" s="665"/>
      <c r="AP67" s="665"/>
      <c r="AQ67" s="665"/>
      <c r="AW67" s="4">
        <v>34</v>
      </c>
    </row>
    <row r="68" spans="1:49" ht="21" customHeight="1">
      <c r="P68" s="4"/>
      <c r="V68" s="665"/>
      <c r="W68" s="665"/>
      <c r="X68" s="665"/>
      <c r="Y68" s="665"/>
      <c r="Z68" s="665"/>
      <c r="AA68" s="665"/>
      <c r="AB68" s="665"/>
      <c r="AC68" s="665"/>
      <c r="AD68" s="665"/>
      <c r="AE68" s="665"/>
      <c r="AF68" s="665"/>
      <c r="AG68" s="665"/>
      <c r="AH68" s="665"/>
      <c r="AI68" s="665"/>
      <c r="AJ68" s="665"/>
      <c r="AK68" s="665"/>
      <c r="AL68" s="665"/>
      <c r="AM68" s="665"/>
      <c r="AN68" s="665"/>
      <c r="AO68" s="665"/>
      <c r="AP68" s="665"/>
      <c r="AQ68" s="665"/>
      <c r="AW68" s="4">
        <v>20</v>
      </c>
    </row>
    <row r="69" spans="1:49" ht="14.65" customHeight="1">
      <c r="P69" s="4"/>
      <c r="AW69" s="4">
        <v>14</v>
      </c>
    </row>
    <row r="70" spans="1:49" ht="28.5" customHeight="1">
      <c r="P70" s="4"/>
      <c r="V70" s="665"/>
      <c r="W70" s="665"/>
      <c r="X70" s="665"/>
      <c r="Y70" s="665"/>
      <c r="Z70" s="665"/>
      <c r="AA70" s="665"/>
      <c r="AB70" s="665"/>
      <c r="AC70" s="665"/>
      <c r="AD70" s="665"/>
      <c r="AE70" s="665"/>
      <c r="AF70" s="665"/>
      <c r="AG70" s="665"/>
      <c r="AH70" s="665"/>
      <c r="AI70" s="665"/>
      <c r="AJ70" s="665"/>
      <c r="AK70" s="665"/>
      <c r="AL70" s="665"/>
      <c r="AM70" s="665"/>
      <c r="AN70" s="665"/>
      <c r="AO70" s="665"/>
      <c r="AP70" s="665"/>
      <c r="AQ70" s="665"/>
      <c r="AW70" s="4">
        <v>27</v>
      </c>
    </row>
    <row r="71" spans="1:49" ht="18.75" customHeight="1">
      <c r="P71" s="4"/>
      <c r="V71" s="665"/>
      <c r="W71" s="665"/>
      <c r="X71" s="665"/>
      <c r="Y71" s="665"/>
      <c r="Z71" s="665"/>
      <c r="AA71" s="665"/>
      <c r="AB71" s="665"/>
      <c r="AC71" s="665"/>
      <c r="AD71" s="665"/>
      <c r="AE71" s="665"/>
      <c r="AF71" s="665"/>
      <c r="AG71" s="665"/>
      <c r="AH71" s="665"/>
      <c r="AI71" s="665"/>
      <c r="AJ71" s="665"/>
      <c r="AK71" s="665"/>
      <c r="AL71" s="665"/>
      <c r="AM71" s="665"/>
      <c r="AN71" s="665"/>
      <c r="AO71" s="665"/>
      <c r="AP71" s="665"/>
      <c r="AQ71" s="665"/>
      <c r="AW71" s="4">
        <v>18</v>
      </c>
    </row>
    <row r="72" spans="1:49" ht="22.5" hidden="1" customHeight="1">
      <c r="A72" s="4" t="s">
        <v>82</v>
      </c>
      <c r="B72" s="4">
        <v>0</v>
      </c>
      <c r="C72" s="4">
        <v>0</v>
      </c>
      <c r="D72" s="4">
        <v>0</v>
      </c>
      <c r="E72" s="4">
        <v>0</v>
      </c>
      <c r="F72" s="4">
        <v>0</v>
      </c>
      <c r="G72" s="4">
        <v>0</v>
      </c>
      <c r="H72" s="4">
        <v>0</v>
      </c>
      <c r="I72" s="4">
        <v>0</v>
      </c>
      <c r="J72" s="4">
        <v>0</v>
      </c>
      <c r="K72" s="4">
        <v>0</v>
      </c>
      <c r="L72" s="4">
        <v>0</v>
      </c>
      <c r="M72" s="4">
        <v>0</v>
      </c>
      <c r="N72" s="23">
        <v>0</v>
      </c>
      <c r="O72" s="23">
        <v>0</v>
      </c>
      <c r="P72" s="23">
        <v>0</v>
      </c>
      <c r="Q72" s="23">
        <v>0</v>
      </c>
      <c r="R72" s="20">
        <v>3</v>
      </c>
      <c r="S72" s="20">
        <v>3</v>
      </c>
      <c r="T72" s="20">
        <v>3</v>
      </c>
      <c r="U72" s="4">
        <v>12</v>
      </c>
      <c r="V72" s="4">
        <v>31</v>
      </c>
      <c r="W72" s="4">
        <v>0</v>
      </c>
      <c r="X72" s="4">
        <v>0</v>
      </c>
      <c r="Y72" s="4">
        <v>0</v>
      </c>
      <c r="Z72" s="4">
        <v>0</v>
      </c>
      <c r="AA72" s="4">
        <v>0</v>
      </c>
      <c r="AB72" s="4">
        <v>0</v>
      </c>
      <c r="AC72" s="4">
        <v>0</v>
      </c>
      <c r="AD72" s="4">
        <v>0</v>
      </c>
      <c r="AE72" s="4">
        <v>0</v>
      </c>
      <c r="AF72" s="4">
        <v>0</v>
      </c>
      <c r="AG72" s="4">
        <v>21</v>
      </c>
      <c r="AH72" s="4">
        <v>21</v>
      </c>
      <c r="AI72" s="4">
        <v>21</v>
      </c>
      <c r="AJ72" s="4">
        <v>21</v>
      </c>
      <c r="AK72" s="4">
        <v>21</v>
      </c>
      <c r="AL72" s="4">
        <v>11</v>
      </c>
      <c r="AM72" s="4">
        <v>3</v>
      </c>
      <c r="AN72" s="4">
        <v>11</v>
      </c>
      <c r="AO72" s="4">
        <v>8</v>
      </c>
      <c r="AP72" s="4">
        <v>4</v>
      </c>
      <c r="AQ72" s="4">
        <v>115</v>
      </c>
      <c r="AR72" s="46">
        <v>10</v>
      </c>
      <c r="AS72" s="46">
        <v>10</v>
      </c>
      <c r="AT72" s="46">
        <v>10</v>
      </c>
      <c r="AU72" s="46">
        <v>10</v>
      </c>
      <c r="AV72" s="46">
        <v>10</v>
      </c>
      <c r="AW72" s="4">
        <v>23</v>
      </c>
    </row>
  </sheetData>
  <sheetProtection formatColumns="0" formatRows="0" insertRows="0" deleteColumns="0" deleteRows="0" sort="0" autoFilter="0"/>
  <mergeCells count="1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s>
  <dataValidations count="8">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xr:uid="{00000000-0002-0000-1200-000000000000}"/>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xr:uid="{00000000-0002-0000-1200-00000100000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xr:uid="{00000000-0002-0000-1200-000002000000}"/>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xr:uid="{00000000-0002-0000-1200-000003000000}">
      <formula1>900</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xr:uid="{00000000-0002-0000-1200-000004000000}"/>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xr:uid="{00000000-0002-0000-1200-000005000000}">
      <formula1>kind_of_cons</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xr:uid="{00000000-0002-0000-1200-000006000000}">
      <formula1>kind_of_scheme_in</formula1>
    </dataValidation>
    <dataValidation type="list" allowBlank="1" showInputMessage="1" showErrorMessage="1" errorTitle="Ошибка" error="Выберите значение из списка" sqref="V65592 V131128 V196664 V262200 V327736 V393272 V458808 V524344 V589880 V655416 V720952 V786488 V852024 V917560 V983096" xr:uid="{00000000-0002-0000-1200-000007000000}">
      <formula1>kind_of_heat_transfer</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0E57C8-2544-7281-64BA-D05813AA4415}">
  <sheetPr>
    <tabColor theme="6" tint="0.39997558519241921"/>
  </sheetPr>
  <dimension ref="A1:BA70"/>
  <sheetViews>
    <sheetView showGridLines="0" zoomScale="90" workbookViewId="0">
      <pane xSplit="27" ySplit="44" topLeftCell="AB45" activePane="bottomRight" state="frozen"/>
      <selection pane="topRight" activeCell="AB1" sqref="AB1"/>
      <selection pane="bottomLeft" activeCell="A45" sqref="A45"/>
      <selection pane="bottomRight"/>
    </sheetView>
  </sheetViews>
  <sheetFormatPr defaultColWidth="10.5703125" defaultRowHeight="14.25" customHeight="1"/>
  <cols>
    <col min="1" max="1" width="10.5703125" style="43" hidden="1"/>
    <col min="2" max="2" width="11" style="43" hidden="1" customWidth="1"/>
    <col min="3" max="3" width="10.5703125" style="43" hidden="1"/>
    <col min="4" max="4" width="11.85546875" style="43" hidden="1" customWidth="1"/>
    <col min="5" max="5" width="10" style="43" hidden="1" customWidth="1"/>
    <col min="6" max="6" width="8.7109375" style="43" hidden="1" customWidth="1"/>
    <col min="7" max="7" width="7.5703125" style="43" hidden="1" customWidth="1"/>
    <col min="8" max="8" width="11.42578125" style="43" hidden="1" customWidth="1"/>
    <col min="9" max="9" width="12" style="43" hidden="1" customWidth="1"/>
    <col min="10" max="10" width="9.85546875" style="43" hidden="1" customWidth="1"/>
    <col min="11" max="11" width="11.42578125" style="43" hidden="1" customWidth="1"/>
    <col min="12" max="12" width="19.140625" style="43" hidden="1" customWidth="1"/>
    <col min="13" max="14" width="12.28515625" style="167" hidden="1" customWidth="1"/>
    <col min="15" max="15" width="23.42578125" style="167" hidden="1" customWidth="1"/>
    <col min="16" max="16" width="3" style="167" customWidth="1"/>
    <col min="17" max="17" width="3" style="452" customWidth="1"/>
    <col min="18" max="18" width="3" style="20" customWidth="1"/>
    <col min="19" max="19" width="12" style="4" customWidth="1"/>
    <col min="20" max="20" width="31" style="4" customWidth="1"/>
    <col min="21" max="21" width="0.140625" style="4" customWidth="1"/>
    <col min="22" max="23" width="21.7109375" style="4" hidden="1" customWidth="1"/>
    <col min="24" max="24" width="11.7109375" style="4" hidden="1" customWidth="1"/>
    <col min="25" max="25" width="3.7109375" style="4" hidden="1" customWidth="1"/>
    <col min="26" max="26" width="11.7109375" style="4" hidden="1" customWidth="1"/>
    <col min="27" max="27" width="8.5703125" style="4" hidden="1" customWidth="1"/>
    <col min="28" max="28" width="5.42578125" style="4" customWidth="1"/>
    <col min="29" max="30" width="3" style="4" customWidth="1"/>
    <col min="31" max="31" width="24" style="4" customWidth="1"/>
    <col min="32" max="32" width="3.7109375" style="4" customWidth="1"/>
    <col min="33" max="34" width="3" style="4" customWidth="1"/>
    <col min="35" max="35" width="24" style="4" customWidth="1"/>
    <col min="36" max="36" width="3.7109375" style="4" customWidth="1"/>
    <col min="37" max="38" width="3" style="4" customWidth="1"/>
    <col min="39" max="39" width="18" style="4" customWidth="1"/>
    <col min="40" max="41" width="21" style="4" customWidth="1"/>
    <col min="42" max="42" width="11" style="4" customWidth="1"/>
    <col min="43" max="43" width="3.7109375" style="4" customWidth="1"/>
    <col min="44" max="44" width="11" style="4" customWidth="1"/>
    <col min="45" max="45" width="8.5703125" style="4" hidden="1" customWidth="1"/>
    <col min="46" max="46" width="4" style="4" customWidth="1"/>
    <col min="47" max="47" width="115" style="4" customWidth="1"/>
    <col min="48" max="52" width="10" style="46" customWidth="1"/>
    <col min="53" max="53" width="10.5703125" style="4" hidden="1"/>
  </cols>
  <sheetData>
    <row r="1" spans="5:53" ht="22.5" hidden="1" customHeight="1">
      <c r="BA1" s="4" t="s">
        <v>14</v>
      </c>
    </row>
    <row r="2" spans="5:53" ht="21" hidden="1" customHeight="1">
      <c r="E2" s="745">
        <v>1</v>
      </c>
      <c r="M2" s="43"/>
      <c r="N2" s="43"/>
      <c r="O2" s="43"/>
      <c r="Q2" s="43"/>
      <c r="R2" s="119"/>
      <c r="S2" s="24" t="e">
        <f>INDEX(PT_DIFFERENTIATION_NUM_NTAR,MATCH(A2,PT_DIFFERENTIATION_NTAR_ID,0))</f>
        <v>#N/A</v>
      </c>
      <c r="T2" s="29" t="s">
        <v>128</v>
      </c>
      <c r="U2" s="29"/>
      <c r="V2" s="743"/>
      <c r="W2" s="743"/>
      <c r="X2" s="743"/>
      <c r="Y2" s="743"/>
      <c r="Z2" s="743"/>
      <c r="AA2" s="744"/>
      <c r="AB2" s="742" t="e">
        <f>INDEX(PT_DIFFERENTIATION_NTAR,MATCH(A2,PT_DIFFERENTIATION_NTAR_ID,0))</f>
        <v>#N/A</v>
      </c>
      <c r="AC2" s="743"/>
      <c r="AD2" s="743"/>
      <c r="AE2" s="743"/>
      <c r="AF2" s="743"/>
      <c r="AG2" s="743"/>
      <c r="AH2" s="743"/>
      <c r="AI2" s="743"/>
      <c r="AJ2" s="743"/>
      <c r="AK2" s="743"/>
      <c r="AL2" s="743"/>
      <c r="AM2" s="743"/>
      <c r="AN2" s="743"/>
      <c r="AO2" s="743"/>
      <c r="AP2" s="743"/>
      <c r="AQ2" s="743"/>
      <c r="AR2" s="743"/>
      <c r="AS2" s="743"/>
      <c r="AT2" s="744"/>
      <c r="AU2" s="428" t="s">
        <v>399</v>
      </c>
      <c r="AX2" s="46" t="str">
        <f t="shared" ref="AX2:AX8" si="0">IF(T2="","",T2)</f>
        <v>Наименование тарифа</v>
      </c>
      <c r="BA2" s="4">
        <v>0</v>
      </c>
    </row>
    <row r="3" spans="5:53" ht="21" hidden="1" customHeight="1">
      <c r="E3" s="747"/>
      <c r="F3" s="745">
        <v>1</v>
      </c>
      <c r="M3" s="43"/>
      <c r="N3" s="43"/>
      <c r="O3" s="43"/>
      <c r="P3" s="43"/>
      <c r="Q3" s="468"/>
      <c r="R3" s="119"/>
      <c r="S3" s="24" t="e">
        <f>INDEX(PT_DIFFERENTIATION_NUM_TER,MATCH(B3,PT_DIFFERENTIATION_TER_ID,0))</f>
        <v>#N/A</v>
      </c>
      <c r="T3" s="24" t="s">
        <v>400</v>
      </c>
      <c r="U3" s="29"/>
      <c r="V3" s="743"/>
      <c r="W3" s="743"/>
      <c r="X3" s="743"/>
      <c r="Y3" s="743"/>
      <c r="Z3" s="743"/>
      <c r="AA3" s="744"/>
      <c r="AB3" s="742" t="e">
        <f>INDEX(PT_DIFFERENTIATION_TER,MATCH(B3,PT_DIFFERENTIATION_TER_ID,0))</f>
        <v>#N/A</v>
      </c>
      <c r="AC3" s="743"/>
      <c r="AD3" s="743"/>
      <c r="AE3" s="743"/>
      <c r="AF3" s="743"/>
      <c r="AG3" s="743"/>
      <c r="AH3" s="743"/>
      <c r="AI3" s="743"/>
      <c r="AJ3" s="743"/>
      <c r="AK3" s="743"/>
      <c r="AL3" s="743"/>
      <c r="AM3" s="743"/>
      <c r="AN3" s="743"/>
      <c r="AO3" s="743"/>
      <c r="AP3" s="743"/>
      <c r="AQ3" s="743"/>
      <c r="AR3" s="743"/>
      <c r="AS3" s="743"/>
      <c r="AT3" s="744"/>
      <c r="AU3" s="428" t="s">
        <v>401</v>
      </c>
      <c r="AX3" s="46" t="str">
        <f t="shared" si="0"/>
        <v>Территория действия тарифа</v>
      </c>
      <c r="BA3" s="4">
        <v>0</v>
      </c>
    </row>
    <row r="4" spans="5:53" ht="22.5" hidden="1" customHeight="1">
      <c r="E4" s="747"/>
      <c r="F4" s="747"/>
      <c r="G4" s="745">
        <v>1</v>
      </c>
      <c r="M4" s="43"/>
      <c r="N4" s="43"/>
      <c r="O4" s="43"/>
      <c r="P4" s="79"/>
      <c r="Q4" s="468"/>
      <c r="R4" s="119"/>
      <c r="S4" s="24" t="e">
        <f>INDEX(PT_DIFFERENTIATION_NUM_CS,MATCH(C4,PT_DIFFERENTIATION_CS_ID,0))</f>
        <v>#N/A</v>
      </c>
      <c r="T4" s="24" t="s">
        <v>402</v>
      </c>
      <c r="U4" s="29"/>
      <c r="V4" s="743"/>
      <c r="W4" s="743"/>
      <c r="X4" s="743"/>
      <c r="Y4" s="743"/>
      <c r="Z4" s="743"/>
      <c r="AA4" s="744"/>
      <c r="AB4" s="742" t="e">
        <f>INDEX(PT_DIFFERENTIATION_CS,MATCH(C4,PT_DIFFERENTIATION_CS_ID,0))</f>
        <v>#N/A</v>
      </c>
      <c r="AC4" s="743"/>
      <c r="AD4" s="743"/>
      <c r="AE4" s="743"/>
      <c r="AF4" s="743"/>
      <c r="AG4" s="743"/>
      <c r="AH4" s="743"/>
      <c r="AI4" s="743"/>
      <c r="AJ4" s="743"/>
      <c r="AK4" s="743"/>
      <c r="AL4" s="743"/>
      <c r="AM4" s="743"/>
      <c r="AN4" s="743"/>
      <c r="AO4" s="743"/>
      <c r="AP4" s="743"/>
      <c r="AQ4" s="743"/>
      <c r="AR4" s="743"/>
      <c r="AS4" s="743"/>
      <c r="AT4" s="744"/>
      <c r="AU4" s="428" t="s">
        <v>403</v>
      </c>
      <c r="AX4" s="46" t="str">
        <f t="shared" si="0"/>
        <v xml:space="preserve">Наименование системы теплоснабжения </v>
      </c>
      <c r="BA4" s="4">
        <v>0</v>
      </c>
    </row>
    <row r="5" spans="5:53" ht="21" hidden="1" customHeight="1">
      <c r="E5" s="747"/>
      <c r="F5" s="747"/>
      <c r="G5" s="747"/>
      <c r="H5" s="745">
        <v>1</v>
      </c>
      <c r="M5" s="43"/>
      <c r="N5" s="43"/>
      <c r="O5" s="43"/>
      <c r="P5" s="79"/>
      <c r="Q5" s="468"/>
      <c r="R5" s="119"/>
      <c r="S5" s="24" t="e">
        <f>INDEX(PT_DIFFERENTIATION_NUM_IST_TE,MATCH(D5,PT_DIFFERENTIATION_IST_TE_ID,0))</f>
        <v>#N/A</v>
      </c>
      <c r="T5" s="24" t="s">
        <v>404</v>
      </c>
      <c r="U5" s="29"/>
      <c r="V5" s="743"/>
      <c r="W5" s="743"/>
      <c r="X5" s="743"/>
      <c r="Y5" s="743"/>
      <c r="Z5" s="743"/>
      <c r="AA5" s="744"/>
      <c r="AB5" s="742" t="e">
        <f>INDEX(PT_DIFFERENTIATION_IST_TE,MATCH(D5,PT_DIFFERENTIATION_IST_TE_ID,0))</f>
        <v>#N/A</v>
      </c>
      <c r="AC5" s="743"/>
      <c r="AD5" s="743"/>
      <c r="AE5" s="743"/>
      <c r="AF5" s="743"/>
      <c r="AG5" s="743"/>
      <c r="AH5" s="743"/>
      <c r="AI5" s="743"/>
      <c r="AJ5" s="743"/>
      <c r="AK5" s="743"/>
      <c r="AL5" s="743"/>
      <c r="AM5" s="743"/>
      <c r="AN5" s="743"/>
      <c r="AO5" s="743"/>
      <c r="AP5" s="743"/>
      <c r="AQ5" s="743"/>
      <c r="AR5" s="743"/>
      <c r="AS5" s="743"/>
      <c r="AT5" s="744"/>
      <c r="AU5" s="428" t="s">
        <v>405</v>
      </c>
      <c r="AX5" s="46" t="str">
        <f t="shared" si="0"/>
        <v xml:space="preserve">Источник тепловой энергии  </v>
      </c>
      <c r="BA5" s="4">
        <v>0</v>
      </c>
    </row>
    <row r="6" spans="5:53" s="46" customFormat="1" ht="0.75" hidden="1" customHeight="1">
      <c r="E6" s="747"/>
      <c r="F6" s="747"/>
      <c r="G6" s="747"/>
      <c r="H6" s="747"/>
      <c r="I6" s="745" t="e">
        <f>S5&amp;".1"</f>
        <v>#N/A</v>
      </c>
      <c r="L6" s="46" t="s">
        <v>406</v>
      </c>
      <c r="M6" s="160"/>
      <c r="N6" s="160"/>
      <c r="O6" s="160"/>
      <c r="P6" s="748">
        <v>1</v>
      </c>
      <c r="R6" s="120"/>
      <c r="S6" s="174"/>
      <c r="T6" s="174"/>
      <c r="U6" s="174"/>
      <c r="V6" s="769"/>
      <c r="W6" s="769"/>
      <c r="X6" s="769"/>
      <c r="Y6" s="769"/>
      <c r="Z6" s="769"/>
      <c r="AA6" s="770"/>
      <c r="AB6" s="768"/>
      <c r="AC6" s="769"/>
      <c r="AD6" s="769"/>
      <c r="AE6" s="769"/>
      <c r="AF6" s="769"/>
      <c r="AG6" s="769"/>
      <c r="AH6" s="769"/>
      <c r="AI6" s="769"/>
      <c r="AJ6" s="769"/>
      <c r="AK6" s="769"/>
      <c r="AL6" s="769"/>
      <c r="AM6" s="769"/>
      <c r="AN6" s="769"/>
      <c r="AO6" s="769"/>
      <c r="AP6" s="769"/>
      <c r="AQ6" s="769"/>
      <c r="AR6" s="769"/>
      <c r="AS6" s="769"/>
      <c r="AT6" s="770"/>
      <c r="AU6" s="174"/>
      <c r="AX6" s="46" t="str">
        <f t="shared" si="0"/>
        <v/>
      </c>
      <c r="BA6" s="46">
        <v>0</v>
      </c>
    </row>
    <row r="7" spans="5:53" s="46" customFormat="1" ht="0.75" hidden="1" customHeight="1">
      <c r="E7" s="747"/>
      <c r="F7" s="747"/>
      <c r="G7" s="747"/>
      <c r="H7" s="747"/>
      <c r="I7" s="747"/>
      <c r="J7" s="745" t="e">
        <f>S5&amp;".1"</f>
        <v>#N/A</v>
      </c>
      <c r="M7" s="160"/>
      <c r="N7" s="160"/>
      <c r="O7" s="160"/>
      <c r="P7" s="748"/>
      <c r="Q7" s="748">
        <v>1</v>
      </c>
      <c r="R7" s="120"/>
      <c r="S7" s="174"/>
      <c r="T7" s="174"/>
      <c r="U7" s="174"/>
      <c r="V7" s="769"/>
      <c r="W7" s="769"/>
      <c r="X7" s="769"/>
      <c r="Y7" s="769"/>
      <c r="Z7" s="769"/>
      <c r="AA7" s="770"/>
      <c r="AB7" s="768"/>
      <c r="AC7" s="769"/>
      <c r="AD7" s="769"/>
      <c r="AE7" s="769"/>
      <c r="AF7" s="769"/>
      <c r="AG7" s="769"/>
      <c r="AH7" s="769"/>
      <c r="AI7" s="769"/>
      <c r="AJ7" s="769"/>
      <c r="AK7" s="769"/>
      <c r="AL7" s="769"/>
      <c r="AM7" s="769"/>
      <c r="AN7" s="769"/>
      <c r="AO7" s="769"/>
      <c r="AP7" s="769"/>
      <c r="AQ7" s="769"/>
      <c r="AR7" s="769"/>
      <c r="AS7" s="769"/>
      <c r="AT7" s="770"/>
      <c r="AU7" s="174"/>
      <c r="AX7" s="46" t="str">
        <f t="shared" si="0"/>
        <v/>
      </c>
      <c r="BA7" s="46">
        <v>0</v>
      </c>
    </row>
    <row r="8" spans="5:53" ht="21" hidden="1" customHeight="1">
      <c r="E8" s="747"/>
      <c r="F8" s="747"/>
      <c r="G8" s="747"/>
      <c r="H8" s="747"/>
      <c r="I8" s="747"/>
      <c r="J8" s="747"/>
      <c r="K8" s="745" t="e">
        <f>S5&amp;".1"</f>
        <v>#N/A</v>
      </c>
      <c r="P8" s="748"/>
      <c r="Q8" s="748"/>
      <c r="R8" s="788">
        <v>1</v>
      </c>
      <c r="S8" s="724" t="e">
        <f>$K8</f>
        <v>#N/A</v>
      </c>
      <c r="T8" s="785"/>
      <c r="U8" s="29"/>
      <c r="V8" s="168"/>
      <c r="W8" s="427"/>
      <c r="X8" s="749"/>
      <c r="Y8" s="688" t="s">
        <v>66</v>
      </c>
      <c r="Z8" s="749"/>
      <c r="AA8" s="688" t="s">
        <v>66</v>
      </c>
      <c r="AB8" s="688" t="s">
        <v>19</v>
      </c>
      <c r="AC8" s="784"/>
      <c r="AD8" s="722">
        <v>1</v>
      </c>
      <c r="AE8" s="688"/>
      <c r="AF8" s="688" t="s">
        <v>19</v>
      </c>
      <c r="AG8" s="784"/>
      <c r="AH8" s="722">
        <v>1</v>
      </c>
      <c r="AI8" s="688"/>
      <c r="AJ8" s="688" t="s">
        <v>19</v>
      </c>
      <c r="AK8" s="29"/>
      <c r="AL8" s="148">
        <v>1</v>
      </c>
      <c r="AM8" s="356"/>
      <c r="AN8" s="168"/>
      <c r="AO8" s="427"/>
      <c r="AP8" s="544"/>
      <c r="AQ8" s="69" t="s">
        <v>66</v>
      </c>
      <c r="AR8" s="544"/>
      <c r="AS8" s="69" t="s">
        <v>66</v>
      </c>
      <c r="AT8" s="345"/>
      <c r="AU8" s="762" t="s">
        <v>467</v>
      </c>
      <c r="AV8" s="46" t="e">
        <f ca="1">STRCHECKDATE(V11:AT11)</f>
        <v>#NAME?</v>
      </c>
      <c r="AX8" s="46" t="str">
        <f t="shared" si="0"/>
        <v/>
      </c>
      <c r="BA8" s="4">
        <v>0</v>
      </c>
    </row>
    <row r="9" spans="5:53" ht="11.25" hidden="1" customHeight="1">
      <c r="E9" s="747"/>
      <c r="F9" s="747"/>
      <c r="G9" s="747"/>
      <c r="H9" s="747"/>
      <c r="I9" s="747"/>
      <c r="J9" s="747"/>
      <c r="K9" s="745"/>
      <c r="P9" s="748"/>
      <c r="Q9" s="748"/>
      <c r="R9" s="788"/>
      <c r="S9" s="725"/>
      <c r="T9" s="786"/>
      <c r="U9" s="29"/>
      <c r="V9" s="457"/>
      <c r="W9" s="461"/>
      <c r="X9" s="749"/>
      <c r="Y9" s="688"/>
      <c r="Z9" s="749"/>
      <c r="AA9" s="688"/>
      <c r="AB9" s="688"/>
      <c r="AC9" s="784"/>
      <c r="AD9" s="722"/>
      <c r="AE9" s="688"/>
      <c r="AF9" s="688"/>
      <c r="AG9" s="784"/>
      <c r="AH9" s="722"/>
      <c r="AI9" s="688"/>
      <c r="AJ9" s="688"/>
      <c r="AK9" s="98"/>
      <c r="AL9" s="37"/>
      <c r="AM9" s="37" t="s">
        <v>468</v>
      </c>
      <c r="AN9" s="457"/>
      <c r="AO9" s="477"/>
      <c r="AP9" s="457"/>
      <c r="AQ9" s="457"/>
      <c r="AR9" s="457"/>
      <c r="AS9" s="457"/>
      <c r="AT9" s="456"/>
      <c r="AU9" s="763"/>
      <c r="BA9" s="4">
        <v>0</v>
      </c>
    </row>
    <row r="10" spans="5:53" ht="11.25" hidden="1" customHeight="1">
      <c r="E10" s="747"/>
      <c r="F10" s="747"/>
      <c r="G10" s="747"/>
      <c r="H10" s="747"/>
      <c r="I10" s="747"/>
      <c r="J10" s="747"/>
      <c r="K10" s="745"/>
      <c r="P10" s="748"/>
      <c r="Q10" s="748"/>
      <c r="R10" s="788"/>
      <c r="S10" s="725"/>
      <c r="T10" s="786"/>
      <c r="U10" s="29"/>
      <c r="V10" s="457"/>
      <c r="W10" s="461"/>
      <c r="X10" s="749"/>
      <c r="Y10" s="688"/>
      <c r="Z10" s="749"/>
      <c r="AA10" s="688"/>
      <c r="AB10" s="688"/>
      <c r="AC10" s="784"/>
      <c r="AD10" s="722"/>
      <c r="AE10" s="688"/>
      <c r="AF10" s="688"/>
      <c r="AG10" s="98"/>
      <c r="AH10" s="37"/>
      <c r="AI10" s="37" t="s">
        <v>469</v>
      </c>
      <c r="AJ10" s="457"/>
      <c r="AK10" s="457"/>
      <c r="AL10" s="457"/>
      <c r="AM10" s="457"/>
      <c r="AN10" s="457"/>
      <c r="AO10" s="477"/>
      <c r="AP10" s="457"/>
      <c r="AQ10" s="457"/>
      <c r="AR10" s="457"/>
      <c r="AS10" s="457"/>
      <c r="AT10" s="456"/>
      <c r="AU10" s="763"/>
      <c r="BA10" s="4">
        <v>0</v>
      </c>
    </row>
    <row r="11" spans="5:53" ht="11.25" hidden="1" customHeight="1">
      <c r="E11" s="747"/>
      <c r="F11" s="747"/>
      <c r="G11" s="747"/>
      <c r="H11" s="747"/>
      <c r="I11" s="747"/>
      <c r="J11" s="747"/>
      <c r="K11" s="745"/>
      <c r="P11" s="748"/>
      <c r="Q11" s="748"/>
      <c r="R11" s="788"/>
      <c r="S11" s="726"/>
      <c r="T11" s="787"/>
      <c r="U11" s="29"/>
      <c r="V11" s="457"/>
      <c r="W11" s="460" t="str">
        <f>X8&amp;"-"&amp;Z8</f>
        <v>-</v>
      </c>
      <c r="X11" s="707"/>
      <c r="Y11" s="688"/>
      <c r="Z11" s="707"/>
      <c r="AA11" s="688"/>
      <c r="AB11" s="688"/>
      <c r="AC11" s="98"/>
      <c r="AD11" s="37"/>
      <c r="AE11" s="37" t="s">
        <v>470</v>
      </c>
      <c r="AF11" s="457"/>
      <c r="AG11" s="457"/>
      <c r="AH11" s="457"/>
      <c r="AI11" s="457"/>
      <c r="AJ11" s="457"/>
      <c r="AK11" s="457"/>
      <c r="AL11" s="457"/>
      <c r="AM11" s="457"/>
      <c r="AN11" s="457"/>
      <c r="AO11" s="458" t="str">
        <f>AP8&amp;"-"&amp;AR8</f>
        <v>-</v>
      </c>
      <c r="AP11" s="457"/>
      <c r="AQ11" s="457"/>
      <c r="AR11" s="457"/>
      <c r="AS11" s="457"/>
      <c r="AT11" s="450"/>
      <c r="AU11" s="763"/>
      <c r="AX11" s="46" t="str">
        <f t="shared" ref="AX11:AX17" si="1">IF(T11="","",T11)</f>
        <v/>
      </c>
      <c r="BA11" s="4">
        <v>0</v>
      </c>
    </row>
    <row r="12" spans="5:53" ht="11.25" hidden="1" customHeight="1">
      <c r="E12" s="747"/>
      <c r="F12" s="747"/>
      <c r="G12" s="747"/>
      <c r="H12" s="747"/>
      <c r="I12" s="747"/>
      <c r="J12" s="745"/>
      <c r="P12" s="748"/>
      <c r="Q12" s="748"/>
      <c r="R12" s="120"/>
      <c r="S12" s="434"/>
      <c r="T12" s="37" t="s">
        <v>471</v>
      </c>
      <c r="U12" s="58"/>
      <c r="V12" s="58"/>
      <c r="W12" s="58"/>
      <c r="X12" s="58"/>
      <c r="Y12" s="58"/>
      <c r="Z12" s="58"/>
      <c r="AA12" s="58"/>
      <c r="AB12" s="58"/>
      <c r="AC12" s="58"/>
      <c r="AD12" s="58"/>
      <c r="AE12" s="58"/>
      <c r="AF12" s="58"/>
      <c r="AG12" s="58"/>
      <c r="AH12" s="58"/>
      <c r="AI12" s="58"/>
      <c r="AJ12" s="58"/>
      <c r="AK12" s="58"/>
      <c r="AL12" s="58"/>
      <c r="AM12" s="58"/>
      <c r="AN12" s="58"/>
      <c r="AO12" s="58"/>
      <c r="AP12" s="58"/>
      <c r="AQ12" s="58"/>
      <c r="AR12" s="58"/>
      <c r="AS12" s="58"/>
      <c r="AT12" s="59"/>
      <c r="AU12" s="764"/>
      <c r="AX12" s="46" t="str">
        <f t="shared" si="1"/>
        <v>Добавить строку</v>
      </c>
      <c r="BA12" s="4">
        <v>0</v>
      </c>
    </row>
    <row r="13" spans="5:53" s="46" customFormat="1" ht="0.75" hidden="1" customHeight="1">
      <c r="E13" s="747"/>
      <c r="F13" s="747"/>
      <c r="G13" s="747"/>
      <c r="H13" s="747"/>
      <c r="I13" s="745"/>
      <c r="M13" s="160"/>
      <c r="N13" s="160"/>
      <c r="O13" s="160"/>
      <c r="P13" s="748"/>
      <c r="R13" s="120"/>
      <c r="S13" s="455"/>
      <c r="T13" s="354"/>
      <c r="U13" s="354"/>
      <c r="V13" s="354"/>
      <c r="W13" s="354"/>
      <c r="X13" s="354"/>
      <c r="Y13" s="354"/>
      <c r="Z13" s="354"/>
      <c r="AA13" s="354"/>
      <c r="AB13" s="354"/>
      <c r="AC13" s="354"/>
      <c r="AD13" s="354"/>
      <c r="AE13" s="354"/>
      <c r="AF13" s="354"/>
      <c r="AG13" s="354"/>
      <c r="AH13" s="354"/>
      <c r="AI13" s="354"/>
      <c r="AJ13" s="354"/>
      <c r="AK13" s="354"/>
      <c r="AL13" s="354"/>
      <c r="AM13" s="354"/>
      <c r="AN13" s="354"/>
      <c r="AO13" s="354"/>
      <c r="AP13" s="354"/>
      <c r="AQ13" s="354"/>
      <c r="AR13" s="354"/>
      <c r="AS13" s="354"/>
      <c r="AT13" s="354"/>
      <c r="AU13" s="314"/>
      <c r="AX13" s="46" t="str">
        <f t="shared" si="1"/>
        <v/>
      </c>
      <c r="BA13" s="46">
        <v>0</v>
      </c>
    </row>
    <row r="14" spans="5:53" s="46" customFormat="1" ht="0.75" hidden="1" customHeight="1">
      <c r="E14" s="747"/>
      <c r="F14" s="747"/>
      <c r="G14" s="747"/>
      <c r="H14" s="745"/>
      <c r="Q14" s="446"/>
      <c r="R14" s="120"/>
      <c r="S14" s="455"/>
      <c r="T14" s="354"/>
      <c r="U14" s="354"/>
      <c r="V14" s="354"/>
      <c r="W14" s="354"/>
      <c r="X14" s="354"/>
      <c r="Y14" s="354"/>
      <c r="Z14" s="354"/>
      <c r="AA14" s="354"/>
      <c r="AB14" s="354"/>
      <c r="AC14" s="354"/>
      <c r="AD14" s="354"/>
      <c r="AE14" s="354"/>
      <c r="AF14" s="354"/>
      <c r="AG14" s="354"/>
      <c r="AH14" s="354"/>
      <c r="AI14" s="354"/>
      <c r="AJ14" s="354"/>
      <c r="AK14" s="354"/>
      <c r="AL14" s="354"/>
      <c r="AM14" s="354"/>
      <c r="AN14" s="354"/>
      <c r="AO14" s="354"/>
      <c r="AP14" s="354"/>
      <c r="AQ14" s="354"/>
      <c r="AR14" s="354"/>
      <c r="AS14" s="354"/>
      <c r="AT14" s="354"/>
      <c r="AU14" s="314"/>
      <c r="AX14" s="46" t="str">
        <f t="shared" si="1"/>
        <v/>
      </c>
      <c r="BA14" s="46">
        <v>0</v>
      </c>
    </row>
    <row r="15" spans="5:53" s="46" customFormat="1" ht="0.75" hidden="1" customHeight="1">
      <c r="E15" s="747"/>
      <c r="F15" s="747"/>
      <c r="G15" s="745"/>
      <c r="Q15" s="446"/>
      <c r="S15" s="449"/>
      <c r="T15" s="160" t="s">
        <v>417</v>
      </c>
      <c r="U15" s="160"/>
      <c r="V15" s="160"/>
      <c r="W15" s="160"/>
      <c r="X15" s="160"/>
      <c r="Y15" s="160"/>
      <c r="Z15" s="160"/>
      <c r="AA15" s="160"/>
      <c r="AB15" s="160"/>
      <c r="AC15" s="160"/>
      <c r="AD15" s="160"/>
      <c r="AE15" s="160"/>
      <c r="AF15" s="160"/>
      <c r="AG15" s="160"/>
      <c r="AH15" s="160"/>
      <c r="AI15" s="160"/>
      <c r="AJ15" s="160"/>
      <c r="AK15" s="160"/>
      <c r="AL15" s="160"/>
      <c r="AM15" s="160"/>
      <c r="AN15" s="160"/>
      <c r="AO15" s="160"/>
      <c r="AP15" s="160"/>
      <c r="AQ15" s="160"/>
      <c r="AR15" s="160"/>
      <c r="AS15" s="160"/>
      <c r="AT15" s="160"/>
      <c r="AU15" s="160"/>
      <c r="AX15" s="46" t="str">
        <f t="shared" si="1"/>
        <v>Добавить источник для дифференциации</v>
      </c>
      <c r="BA15" s="46">
        <v>0</v>
      </c>
    </row>
    <row r="16" spans="5:53" s="46" customFormat="1" ht="0.75" hidden="1" customHeight="1">
      <c r="E16" s="747"/>
      <c r="F16" s="745"/>
      <c r="M16" s="160"/>
      <c r="N16" s="160"/>
      <c r="Q16" s="446"/>
      <c r="S16" s="449"/>
      <c r="T16" s="160" t="s">
        <v>418</v>
      </c>
      <c r="U16" s="160"/>
      <c r="V16" s="160"/>
      <c r="W16" s="160"/>
      <c r="X16" s="160"/>
      <c r="Y16" s="160"/>
      <c r="Z16" s="160"/>
      <c r="AA16" s="160"/>
      <c r="AB16" s="160"/>
      <c r="AC16" s="160"/>
      <c r="AD16" s="160"/>
      <c r="AE16" s="160"/>
      <c r="AF16" s="160"/>
      <c r="AG16" s="160"/>
      <c r="AH16" s="160"/>
      <c r="AI16" s="160"/>
      <c r="AJ16" s="160"/>
      <c r="AK16" s="160"/>
      <c r="AL16" s="160"/>
      <c r="AM16" s="160"/>
      <c r="AN16" s="160"/>
      <c r="AO16" s="160"/>
      <c r="AP16" s="160"/>
      <c r="AQ16" s="160"/>
      <c r="AR16" s="160"/>
      <c r="AS16" s="160"/>
      <c r="AT16" s="160"/>
      <c r="AU16" s="160"/>
      <c r="AX16" s="46" t="str">
        <f t="shared" si="1"/>
        <v>Добавить централизованную систему для дифференциации</v>
      </c>
      <c r="BA16" s="46">
        <v>0</v>
      </c>
    </row>
    <row r="17" spans="1:53" s="46" customFormat="1" ht="0.75" hidden="1" customHeight="1">
      <c r="E17" s="745"/>
      <c r="M17" s="160"/>
      <c r="N17" s="160"/>
      <c r="Q17" s="446"/>
      <c r="S17" s="449"/>
      <c r="T17" s="160" t="s">
        <v>419</v>
      </c>
      <c r="U17" s="160"/>
      <c r="V17" s="160"/>
      <c r="W17" s="160"/>
      <c r="X17" s="160"/>
      <c r="Y17" s="160"/>
      <c r="Z17" s="160"/>
      <c r="AA17" s="160"/>
      <c r="AB17" s="160"/>
      <c r="AC17" s="160"/>
      <c r="AD17" s="160"/>
      <c r="AE17" s="160"/>
      <c r="AF17" s="160"/>
      <c r="AG17" s="160"/>
      <c r="AH17" s="160"/>
      <c r="AI17" s="160"/>
      <c r="AJ17" s="160"/>
      <c r="AK17" s="160"/>
      <c r="AL17" s="160"/>
      <c r="AM17" s="160"/>
      <c r="AN17" s="160"/>
      <c r="AO17" s="160"/>
      <c r="AP17" s="160"/>
      <c r="AQ17" s="160"/>
      <c r="AR17" s="160"/>
      <c r="AS17" s="160"/>
      <c r="AT17" s="160"/>
      <c r="AU17" s="160"/>
      <c r="AX17" s="46" t="str">
        <f t="shared" si="1"/>
        <v>Добавить территорию для дифференциации</v>
      </c>
      <c r="BA17" s="46">
        <v>0</v>
      </c>
    </row>
    <row r="18" spans="1:53" ht="14.25" hidden="1" customHeight="1">
      <c r="BA18" s="4">
        <v>0</v>
      </c>
    </row>
    <row r="19" spans="1:53" ht="14.25" hidden="1" customHeight="1">
      <c r="AB19" s="160" t="s">
        <v>19</v>
      </c>
      <c r="AC19" s="478"/>
      <c r="AD19" s="160">
        <v>1</v>
      </c>
      <c r="AE19" s="160"/>
      <c r="AF19" s="160" t="s">
        <v>19</v>
      </c>
      <c r="AG19" s="478"/>
      <c r="AH19" s="160">
        <v>1</v>
      </c>
      <c r="AI19" s="160"/>
      <c r="AJ19" s="160" t="s">
        <v>19</v>
      </c>
      <c r="AK19" s="46"/>
      <c r="AL19" s="160">
        <v>1</v>
      </c>
      <c r="AM19" s="120"/>
      <c r="AN19" s="111"/>
      <c r="AO19" s="463"/>
      <c r="AP19" s="547"/>
      <c r="AQ19" s="332" t="s">
        <v>66</v>
      </c>
      <c r="AR19" s="547"/>
      <c r="AS19" s="332" t="s">
        <v>66</v>
      </c>
      <c r="BA19" s="4">
        <v>0</v>
      </c>
    </row>
    <row r="20" spans="1:53" ht="14.25" hidden="1" customHeight="1">
      <c r="AV20" s="117"/>
      <c r="AW20" s="117"/>
      <c r="AX20" s="117"/>
      <c r="AY20" s="117"/>
      <c r="AZ20" s="117"/>
      <c r="BA20" s="4">
        <v>0</v>
      </c>
    </row>
    <row r="21" spans="1:53" ht="14.25" hidden="1" customHeight="1">
      <c r="O21" s="261" t="s">
        <v>420</v>
      </c>
      <c r="X21" s="31"/>
      <c r="Z21" s="31"/>
      <c r="AP21" s="31"/>
      <c r="AR21" s="31"/>
      <c r="AV21" s="117"/>
      <c r="AW21" s="117"/>
      <c r="AX21" s="117"/>
      <c r="AY21" s="117"/>
      <c r="AZ21" s="117"/>
      <c r="BA21" s="4">
        <v>0</v>
      </c>
    </row>
    <row r="22" spans="1:53" ht="14.25" hidden="1" customHeight="1">
      <c r="AV22" s="117"/>
      <c r="AW22" s="117"/>
      <c r="AX22" s="117"/>
      <c r="AY22" s="117"/>
      <c r="AZ22" s="117"/>
      <c r="BA22" s="4">
        <v>0</v>
      </c>
    </row>
    <row r="23" spans="1:53" s="43" customFormat="1" ht="14.25" hidden="1" customHeight="1">
      <c r="M23" s="167"/>
      <c r="N23" s="167"/>
      <c r="O23" s="43" t="s">
        <v>421</v>
      </c>
      <c r="P23" s="167"/>
      <c r="Q23" s="452"/>
      <c r="R23" s="452"/>
      <c r="Y23" s="43" t="s">
        <v>423</v>
      </c>
      <c r="AA23" s="43" t="s">
        <v>424</v>
      </c>
      <c r="AB23" s="43" t="s">
        <v>472</v>
      </c>
      <c r="AE23" s="43" t="s">
        <v>473</v>
      </c>
      <c r="AF23" s="43" t="s">
        <v>472</v>
      </c>
      <c r="AI23" s="43" t="s">
        <v>474</v>
      </c>
      <c r="AJ23" s="43" t="s">
        <v>472</v>
      </c>
      <c r="AM23" s="43" t="s">
        <v>475</v>
      </c>
      <c r="AQ23" s="43" t="s">
        <v>423</v>
      </c>
      <c r="AS23" s="43" t="s">
        <v>424</v>
      </c>
      <c r="AV23" s="46"/>
      <c r="AW23" s="46"/>
      <c r="AX23" s="46"/>
      <c r="AY23" s="46"/>
      <c r="AZ23" s="46"/>
      <c r="BA23" s="43">
        <v>0</v>
      </c>
    </row>
    <row r="24" spans="1:53" ht="14.25" hidden="1" customHeight="1">
      <c r="O24" s="43"/>
      <c r="AV24" s="117"/>
      <c r="AW24" s="117"/>
      <c r="AX24" s="117"/>
      <c r="AY24" s="117"/>
      <c r="AZ24" s="117"/>
      <c r="BA24" s="4">
        <v>0</v>
      </c>
    </row>
    <row r="25" spans="1:53" ht="14.25" hidden="1" customHeight="1">
      <c r="O25" s="43"/>
      <c r="AV25" s="117"/>
      <c r="AW25" s="117"/>
      <c r="AX25" s="117"/>
      <c r="AY25" s="117"/>
      <c r="AZ25" s="117"/>
      <c r="BA25" s="4">
        <v>0</v>
      </c>
    </row>
    <row r="26" spans="1:53" ht="14.65" customHeight="1">
      <c r="Q26" s="97"/>
      <c r="R26" s="19"/>
      <c r="S26" s="6"/>
      <c r="T26" s="6"/>
      <c r="U26" s="6"/>
      <c r="BA26" s="4">
        <v>14</v>
      </c>
    </row>
    <row r="27" spans="1:53" ht="27.4" customHeight="1">
      <c r="Q27" s="97"/>
      <c r="R27" s="19"/>
      <c r="S27" s="697"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697"/>
      <c r="U27" s="697"/>
      <c r="V27" s="697"/>
      <c r="W27" s="697"/>
      <c r="X27" s="697"/>
      <c r="Y27" s="697"/>
      <c r="Z27" s="697"/>
      <c r="AA27" s="697"/>
      <c r="AB27" s="697"/>
      <c r="AC27" s="697"/>
      <c r="AD27" s="697"/>
      <c r="AE27" s="697"/>
      <c r="AF27" s="697"/>
      <c r="AG27" s="697"/>
      <c r="AH27" s="697"/>
      <c r="AI27" s="697"/>
      <c r="AJ27" s="697"/>
      <c r="AK27" s="697"/>
      <c r="AL27" s="697"/>
      <c r="AM27" s="697"/>
      <c r="AN27" s="697"/>
      <c r="AO27" s="697"/>
      <c r="AP27" s="697"/>
      <c r="AQ27" s="697"/>
      <c r="AR27" s="697"/>
      <c r="AS27" s="40"/>
      <c r="BA27" s="4">
        <v>26</v>
      </c>
    </row>
    <row r="28" spans="1:53" ht="14.65" customHeight="1">
      <c r="Q28" s="97"/>
      <c r="R28" s="19"/>
      <c r="S28" s="712" t="str">
        <f>IF(org=0,"Не определено",org)</f>
        <v>ООО "Восточная Тепловая компания"</v>
      </c>
      <c r="T28" s="712"/>
      <c r="U28" s="712"/>
      <c r="V28" s="712"/>
      <c r="W28" s="712"/>
      <c r="X28" s="712"/>
      <c r="Y28" s="712"/>
      <c r="Z28" s="712"/>
      <c r="AA28" s="712"/>
      <c r="AB28" s="712"/>
      <c r="AC28" s="712"/>
      <c r="AD28" s="712"/>
      <c r="AE28" s="712"/>
      <c r="AF28" s="712"/>
      <c r="AG28" s="712"/>
      <c r="AH28" s="712"/>
      <c r="AI28" s="712"/>
      <c r="AJ28" s="712"/>
      <c r="AK28" s="712"/>
      <c r="AL28" s="712"/>
      <c r="AM28" s="712"/>
      <c r="AN28" s="712"/>
      <c r="AO28" s="712"/>
      <c r="AP28" s="712"/>
      <c r="AQ28" s="712"/>
      <c r="AR28" s="712"/>
      <c r="AS28" s="40"/>
      <c r="BA28" s="4">
        <v>14</v>
      </c>
    </row>
    <row r="29" spans="1:53" ht="14.25" hidden="1" customHeight="1">
      <c r="Q29" s="97"/>
      <c r="R29" s="19"/>
      <c r="S29" s="6"/>
      <c r="T29" s="6"/>
      <c r="U29" s="6"/>
      <c r="V29" s="109"/>
      <c r="W29" s="109"/>
      <c r="X29" s="109"/>
      <c r="Y29" s="109"/>
      <c r="Z29" s="109"/>
      <c r="AA29" s="109"/>
      <c r="AB29" s="109"/>
      <c r="AC29" s="109"/>
      <c r="AD29" s="109"/>
      <c r="AE29" s="109"/>
      <c r="AF29" s="109"/>
      <c r="AG29" s="109"/>
      <c r="AH29" s="109"/>
      <c r="AI29" s="109"/>
      <c r="AJ29" s="109"/>
      <c r="AK29" s="109"/>
      <c r="AL29" s="109"/>
      <c r="AM29" s="109"/>
      <c r="AN29" s="109"/>
      <c r="AO29" s="109"/>
      <c r="AP29" s="109"/>
      <c r="AQ29" s="109"/>
      <c r="AR29" s="109"/>
      <c r="AS29" s="109"/>
      <c r="BA29" s="4">
        <v>0</v>
      </c>
    </row>
    <row r="30" spans="1:53" s="22" customFormat="1" ht="25.5" hidden="1" customHeight="1">
      <c r="A30" s="43"/>
      <c r="B30" s="43"/>
      <c r="C30" s="43"/>
      <c r="D30" s="43"/>
      <c r="E30" s="43"/>
      <c r="F30" s="43"/>
      <c r="G30" s="43"/>
      <c r="H30" s="43"/>
      <c r="I30" s="43"/>
      <c r="J30" s="43"/>
      <c r="K30" s="43"/>
      <c r="L30" s="43"/>
      <c r="M30" s="43"/>
      <c r="N30" s="43"/>
      <c r="O30" s="43"/>
      <c r="P30" s="43"/>
      <c r="Q30" s="43"/>
      <c r="S30" s="721" t="s">
        <v>42</v>
      </c>
      <c r="T30" s="721"/>
      <c r="U30" s="453"/>
      <c r="V30" s="741" t="str">
        <f>IF(TITLE_NAME_OR_PR_CHANGE="",IF(TITLE_NAME_OR_PR="","",TITLE_NAME_OR_PR),TITLE_NAME_OR_PR_CHANGE)</f>
        <v/>
      </c>
      <c r="W30" s="741"/>
      <c r="X30" s="741"/>
      <c r="Y30" s="741"/>
      <c r="Z30" s="741"/>
      <c r="AA30" s="4"/>
      <c r="AB30" s="741" t="str">
        <f>IF(TITLE_NAME_OR_PR_CHANGE="",IF(TITLE_NAME_OR_PR="","",TITLE_NAME_OR_PR),TITLE_NAME_OR_PR_CHANGE)</f>
        <v/>
      </c>
      <c r="AC30" s="741"/>
      <c r="AD30" s="741"/>
      <c r="AE30" s="741"/>
      <c r="AF30" s="741"/>
      <c r="AG30" s="741"/>
      <c r="AH30" s="741"/>
      <c r="AI30" s="741"/>
      <c r="AJ30" s="741"/>
      <c r="AK30" s="741"/>
      <c r="AL30" s="741"/>
      <c r="AM30" s="741"/>
      <c r="AN30" s="741"/>
      <c r="AO30" s="741"/>
      <c r="AP30" s="741"/>
      <c r="AQ30" s="741"/>
      <c r="AR30" s="741"/>
      <c r="AS30" s="4"/>
      <c r="AT30" s="4"/>
      <c r="AU30" s="96"/>
      <c r="AV30" s="46"/>
      <c r="AW30" s="46"/>
      <c r="AX30" s="46"/>
      <c r="AY30" s="46"/>
      <c r="AZ30" s="46"/>
      <c r="BA30" s="22">
        <v>0</v>
      </c>
    </row>
    <row r="31" spans="1:53" s="22" customFormat="1" ht="18.75" hidden="1" customHeight="1">
      <c r="A31" s="43"/>
      <c r="B31" s="43"/>
      <c r="C31" s="43"/>
      <c r="D31" s="43"/>
      <c r="E31" s="43"/>
      <c r="F31" s="43"/>
      <c r="G31" s="43"/>
      <c r="H31" s="43"/>
      <c r="I31" s="43"/>
      <c r="J31" s="43"/>
      <c r="K31" s="43"/>
      <c r="L31" s="43"/>
      <c r="M31" s="43"/>
      <c r="N31" s="43"/>
      <c r="O31" s="43"/>
      <c r="P31" s="43"/>
      <c r="Q31" s="43"/>
      <c r="S31" s="721" t="s">
        <v>426</v>
      </c>
      <c r="T31" s="721"/>
      <c r="U31" s="453"/>
      <c r="V31" s="740" t="str">
        <f>IF(TITLE_DATE_PR_CHANGE="",IF(TITLE_DATE_PR="","",TITLE_DATE_PR),TITLE_DATE_PR_CHANGE)</f>
        <v/>
      </c>
      <c r="W31" s="740"/>
      <c r="X31" s="740"/>
      <c r="Y31" s="740"/>
      <c r="Z31" s="740"/>
      <c r="AA31" s="4"/>
      <c r="AB31" s="740" t="str">
        <f>IF(TITLE_DATE_PR_CHANGE="",IF(TITLE_DATE_PR="","",TITLE_DATE_PR),TITLE_DATE_PR_CHANGE)</f>
        <v/>
      </c>
      <c r="AC31" s="740"/>
      <c r="AD31" s="740"/>
      <c r="AE31" s="740"/>
      <c r="AF31" s="740"/>
      <c r="AG31" s="740"/>
      <c r="AH31" s="740"/>
      <c r="AI31" s="740"/>
      <c r="AJ31" s="740"/>
      <c r="AK31" s="740"/>
      <c r="AL31" s="740"/>
      <c r="AM31" s="740"/>
      <c r="AN31" s="740"/>
      <c r="AO31" s="740"/>
      <c r="AP31" s="740"/>
      <c r="AQ31" s="740"/>
      <c r="AR31" s="740"/>
      <c r="AS31" s="4"/>
      <c r="AT31" s="4"/>
      <c r="AU31" s="96"/>
      <c r="AV31" s="46"/>
      <c r="AW31" s="46"/>
      <c r="AX31" s="46"/>
      <c r="AY31" s="46"/>
      <c r="AZ31" s="46"/>
      <c r="BA31" s="22">
        <v>0</v>
      </c>
    </row>
    <row r="32" spans="1:53" s="22" customFormat="1" ht="18.75" hidden="1" customHeight="1">
      <c r="A32" s="43"/>
      <c r="B32" s="43"/>
      <c r="C32" s="43"/>
      <c r="D32" s="43"/>
      <c r="E32" s="43"/>
      <c r="F32" s="43"/>
      <c r="G32" s="43"/>
      <c r="H32" s="43"/>
      <c r="I32" s="43"/>
      <c r="J32" s="43"/>
      <c r="K32" s="43"/>
      <c r="L32" s="43"/>
      <c r="M32" s="43"/>
      <c r="N32" s="43"/>
      <c r="O32" s="43"/>
      <c r="P32" s="43"/>
      <c r="Q32" s="43"/>
      <c r="S32" s="721" t="s">
        <v>427</v>
      </c>
      <c r="T32" s="721"/>
      <c r="U32" s="453"/>
      <c r="V32" s="741" t="str">
        <f>IF(TITLE_NUMBER_PR_CHANGE="",IF(TITLE_NUMBER_PR="","",TITLE_NUMBER_PR),TITLE_NUMBER_PR_CHANGE)</f>
        <v/>
      </c>
      <c r="W32" s="741"/>
      <c r="X32" s="741"/>
      <c r="Y32" s="741"/>
      <c r="Z32" s="741"/>
      <c r="AA32" s="4"/>
      <c r="AB32" s="741" t="str">
        <f>IF(TITLE_NUMBER_PR_CHANGE="",IF(TITLE_NUMBER_PR="","",TITLE_NUMBER_PR),TITLE_NUMBER_PR_CHANGE)</f>
        <v/>
      </c>
      <c r="AC32" s="741"/>
      <c r="AD32" s="741"/>
      <c r="AE32" s="741"/>
      <c r="AF32" s="741"/>
      <c r="AG32" s="741"/>
      <c r="AH32" s="741"/>
      <c r="AI32" s="741"/>
      <c r="AJ32" s="741"/>
      <c r="AK32" s="741"/>
      <c r="AL32" s="741"/>
      <c r="AM32" s="741"/>
      <c r="AN32" s="741"/>
      <c r="AO32" s="741"/>
      <c r="AP32" s="741"/>
      <c r="AQ32" s="741"/>
      <c r="AR32" s="741"/>
      <c r="AS32" s="4"/>
      <c r="AT32" s="4"/>
      <c r="AU32" s="96"/>
      <c r="AV32" s="46"/>
      <c r="AW32" s="46"/>
      <c r="AX32" s="46"/>
      <c r="AY32" s="46"/>
      <c r="AZ32" s="46"/>
      <c r="BA32" s="22">
        <v>0</v>
      </c>
    </row>
    <row r="33" spans="1:53" s="22" customFormat="1" ht="18.75" hidden="1" customHeight="1">
      <c r="A33" s="43"/>
      <c r="B33" s="43"/>
      <c r="C33" s="43"/>
      <c r="D33" s="43"/>
      <c r="E33" s="43"/>
      <c r="F33" s="43"/>
      <c r="G33" s="43"/>
      <c r="H33" s="43"/>
      <c r="I33" s="43"/>
      <c r="J33" s="43"/>
      <c r="K33" s="43"/>
      <c r="L33" s="43"/>
      <c r="M33" s="43"/>
      <c r="N33" s="43"/>
      <c r="O33" s="43"/>
      <c r="P33" s="43"/>
      <c r="Q33" s="43"/>
      <c r="S33" s="721" t="s">
        <v>43</v>
      </c>
      <c r="T33" s="721"/>
      <c r="U33" s="453"/>
      <c r="V33" s="741" t="str">
        <f>IF(TITLE_IST_PUB_CHANGE="",IF(TITLE_IST_PUB="","",TITLE_IST_PUB),TITLE_IST_PUB_CHANGE)</f>
        <v/>
      </c>
      <c r="W33" s="741"/>
      <c r="X33" s="741"/>
      <c r="Y33" s="741"/>
      <c r="Z33" s="741"/>
      <c r="AA33" s="4"/>
      <c r="AB33" s="741" t="str">
        <f>IF(TITLE_IST_PUB_CHANGE="",IF(TITLE_IST_PUB="","",TITLE_IST_PUB),TITLE_IST_PUB_CHANGE)</f>
        <v/>
      </c>
      <c r="AC33" s="741"/>
      <c r="AD33" s="741"/>
      <c r="AE33" s="741"/>
      <c r="AF33" s="741"/>
      <c r="AG33" s="741"/>
      <c r="AH33" s="741"/>
      <c r="AI33" s="741"/>
      <c r="AJ33" s="741"/>
      <c r="AK33" s="741"/>
      <c r="AL33" s="741"/>
      <c r="AM33" s="741"/>
      <c r="AN33" s="741"/>
      <c r="AO33" s="741"/>
      <c r="AP33" s="741"/>
      <c r="AQ33" s="741"/>
      <c r="AR33" s="741"/>
      <c r="AS33" s="4"/>
      <c r="AT33" s="4"/>
      <c r="AU33" s="96"/>
      <c r="AV33" s="46"/>
      <c r="AW33" s="46"/>
      <c r="AX33" s="46"/>
      <c r="AY33" s="46"/>
      <c r="AZ33" s="46"/>
      <c r="BA33" s="22">
        <v>0</v>
      </c>
    </row>
    <row r="34" spans="1:53" ht="14.25" hidden="1" customHeight="1">
      <c r="Q34" s="97"/>
      <c r="R34" s="19"/>
      <c r="S34" s="6"/>
      <c r="T34" s="6"/>
      <c r="U34" s="6"/>
      <c r="V34" s="109"/>
      <c r="W34" s="109"/>
      <c r="X34" s="109"/>
      <c r="Y34" s="109"/>
      <c r="Z34" s="109"/>
      <c r="AA34" s="109"/>
      <c r="AB34" s="109"/>
      <c r="AC34" s="109"/>
      <c r="AD34" s="109"/>
      <c r="AE34" s="109"/>
      <c r="AF34" s="109"/>
      <c r="AG34" s="109"/>
      <c r="AH34" s="109"/>
      <c r="AI34" s="109"/>
      <c r="AJ34" s="109"/>
      <c r="AK34" s="109"/>
      <c r="AL34" s="109"/>
      <c r="AM34" s="109"/>
      <c r="AN34" s="109"/>
      <c r="AO34" s="109"/>
      <c r="AP34" s="109"/>
      <c r="AQ34" s="109"/>
      <c r="AR34" s="109"/>
      <c r="AS34" s="109"/>
      <c r="BA34" s="4">
        <v>0</v>
      </c>
    </row>
    <row r="35" spans="1:53" s="22" customFormat="1" ht="18.75" hidden="1" customHeight="1">
      <c r="A35" s="43"/>
      <c r="B35" s="43"/>
      <c r="C35" s="43"/>
      <c r="D35" s="43"/>
      <c r="E35" s="43"/>
      <c r="F35" s="43"/>
      <c r="G35" s="43"/>
      <c r="H35" s="43"/>
      <c r="I35" s="43"/>
      <c r="J35" s="43"/>
      <c r="K35" s="43"/>
      <c r="L35" s="43"/>
      <c r="M35" s="43"/>
      <c r="N35" s="43"/>
      <c r="O35" s="43"/>
      <c r="P35" s="43"/>
      <c r="Q35" s="43"/>
      <c r="S35" s="721" t="s">
        <v>426</v>
      </c>
      <c r="T35" s="721"/>
      <c r="U35" s="453"/>
      <c r="V35" s="740" t="str">
        <f>IF(TITLE_DATE_PR_CHANGE="",IF(TITLE_DATE_PR="","",TITLE_DATE_PR),TITLE_DATE_PR_CHANGE)</f>
        <v/>
      </c>
      <c r="W35" s="740"/>
      <c r="X35" s="740"/>
      <c r="Y35" s="740"/>
      <c r="Z35" s="740"/>
      <c r="AA35" s="4"/>
      <c r="AB35" s="740" t="str">
        <f>IF(TITLE_DATE_PR_CHANGE="",IF(TITLE_DATE_PR="","",TITLE_DATE_PR),TITLE_DATE_PR_CHANGE)</f>
        <v/>
      </c>
      <c r="AC35" s="740"/>
      <c r="AD35" s="740"/>
      <c r="AE35" s="740"/>
      <c r="AF35" s="740"/>
      <c r="AG35" s="740"/>
      <c r="AH35" s="740"/>
      <c r="AI35" s="740"/>
      <c r="AJ35" s="740"/>
      <c r="AK35" s="740"/>
      <c r="AL35" s="740"/>
      <c r="AM35" s="740"/>
      <c r="AN35" s="740"/>
      <c r="AO35" s="740"/>
      <c r="AP35" s="740"/>
      <c r="AQ35" s="740"/>
      <c r="AR35" s="740"/>
      <c r="AS35" s="4"/>
      <c r="AT35" s="4"/>
      <c r="AU35" s="96"/>
      <c r="AV35" s="46"/>
      <c r="AW35" s="46"/>
      <c r="AX35" s="46"/>
      <c r="AY35" s="46"/>
      <c r="AZ35" s="46"/>
      <c r="BA35" s="22">
        <v>0</v>
      </c>
    </row>
    <row r="36" spans="1:53" s="22" customFormat="1" ht="18" hidden="1" customHeight="1">
      <c r="A36" s="43"/>
      <c r="B36" s="43"/>
      <c r="C36" s="43"/>
      <c r="D36" s="43"/>
      <c r="E36" s="43"/>
      <c r="F36" s="43"/>
      <c r="G36" s="43"/>
      <c r="H36" s="43"/>
      <c r="I36" s="43"/>
      <c r="J36" s="43"/>
      <c r="K36" s="43"/>
      <c r="L36" s="43"/>
      <c r="M36" s="43"/>
      <c r="N36" s="43"/>
      <c r="O36" s="43"/>
      <c r="P36" s="43"/>
      <c r="Q36" s="43"/>
      <c r="S36" s="721" t="s">
        <v>427</v>
      </c>
      <c r="T36" s="721"/>
      <c r="U36" s="453"/>
      <c r="V36" s="741" t="str">
        <f>IF(TITLE_NUMBER_PR_CHANGE="",IF(TITLE_NUMBER_PR="","",TITLE_NUMBER_PR),TITLE_NUMBER_PR_CHANGE)</f>
        <v/>
      </c>
      <c r="W36" s="741"/>
      <c r="X36" s="741"/>
      <c r="Y36" s="741"/>
      <c r="Z36" s="741"/>
      <c r="AA36" s="4"/>
      <c r="AB36" s="741" t="str">
        <f>IF(TITLE_NUMBER_PR_CHANGE="",IF(TITLE_NUMBER_PR="","",TITLE_NUMBER_PR),TITLE_NUMBER_PR_CHANGE)</f>
        <v/>
      </c>
      <c r="AC36" s="741"/>
      <c r="AD36" s="741"/>
      <c r="AE36" s="741"/>
      <c r="AF36" s="741"/>
      <c r="AG36" s="741"/>
      <c r="AH36" s="741"/>
      <c r="AI36" s="741"/>
      <c r="AJ36" s="741"/>
      <c r="AK36" s="741"/>
      <c r="AL36" s="741"/>
      <c r="AM36" s="741"/>
      <c r="AN36" s="741"/>
      <c r="AO36" s="741"/>
      <c r="AP36" s="741"/>
      <c r="AQ36" s="741"/>
      <c r="AR36" s="741"/>
      <c r="AS36" s="4"/>
      <c r="AT36" s="4"/>
      <c r="AU36" s="96"/>
      <c r="AV36" s="46"/>
      <c r="AW36" s="46"/>
      <c r="AX36" s="46"/>
      <c r="AY36" s="46"/>
      <c r="AZ36" s="46"/>
      <c r="BA36" s="22">
        <v>0</v>
      </c>
    </row>
    <row r="37" spans="1:53" s="22" customFormat="1" ht="1.1499999999999999" customHeight="1">
      <c r="A37" s="43"/>
      <c r="B37" s="43"/>
      <c r="C37" s="43"/>
      <c r="D37" s="43"/>
      <c r="E37" s="43"/>
      <c r="F37" s="43"/>
      <c r="G37" s="43"/>
      <c r="H37" s="43"/>
      <c r="I37" s="43"/>
      <c r="J37" s="43"/>
      <c r="K37" s="43"/>
      <c r="L37" s="43"/>
      <c r="M37" s="43"/>
      <c r="N37" s="43"/>
      <c r="O37" s="43"/>
      <c r="P37" s="43"/>
      <c r="Q37" s="43"/>
      <c r="S37" s="4"/>
      <c r="T37" s="4"/>
      <c r="U37" s="4"/>
      <c r="V37" s="4"/>
      <c r="W37" s="4"/>
      <c r="X37" s="4"/>
      <c r="Y37" s="4"/>
      <c r="Z37" s="4"/>
      <c r="AA37" s="46" t="s">
        <v>430</v>
      </c>
      <c r="AB37" s="4"/>
      <c r="AC37" s="4"/>
      <c r="AD37" s="4"/>
      <c r="AE37" s="4"/>
      <c r="AF37" s="4"/>
      <c r="AG37" s="4"/>
      <c r="AH37" s="4"/>
      <c r="AI37" s="4"/>
      <c r="AJ37" s="4"/>
      <c r="AK37" s="4"/>
      <c r="AL37" s="4"/>
      <c r="AM37" s="4"/>
      <c r="AN37" s="4"/>
      <c r="AO37" s="4"/>
      <c r="AP37" s="4"/>
      <c r="AQ37" s="4"/>
      <c r="AR37" s="4"/>
      <c r="AS37" s="46" t="s">
        <v>430</v>
      </c>
      <c r="AV37" s="46"/>
      <c r="AW37" s="46"/>
      <c r="AX37" s="46"/>
      <c r="AY37" s="46"/>
      <c r="AZ37" s="46"/>
      <c r="BA37" s="22">
        <v>1</v>
      </c>
    </row>
    <row r="38" spans="1:53" ht="14.65" customHeight="1">
      <c r="Q38" s="97"/>
      <c r="R38" s="19"/>
      <c r="S38" s="6"/>
      <c r="T38" s="6"/>
      <c r="U38" s="420"/>
      <c r="V38" s="755"/>
      <c r="W38" s="755"/>
      <c r="X38" s="755"/>
      <c r="Y38" s="755"/>
      <c r="Z38" s="755"/>
      <c r="AA38" s="755"/>
      <c r="AB38" s="755"/>
      <c r="AC38" s="755"/>
      <c r="AD38" s="755"/>
      <c r="AE38" s="755"/>
      <c r="AF38" s="755"/>
      <c r="AG38" s="755"/>
      <c r="AH38" s="755"/>
      <c r="AI38" s="755"/>
      <c r="AJ38" s="755"/>
      <c r="AK38" s="755"/>
      <c r="AL38" s="755"/>
      <c r="AM38" s="755"/>
      <c r="AN38" s="755"/>
      <c r="AO38" s="755"/>
      <c r="AP38" s="755"/>
      <c r="AQ38" s="755"/>
      <c r="AR38" s="755"/>
      <c r="AS38" s="755"/>
      <c r="BA38" s="4">
        <v>14</v>
      </c>
    </row>
    <row r="39" spans="1:53" ht="14.65" customHeight="1">
      <c r="Q39" s="97"/>
      <c r="R39" s="19"/>
      <c r="S39" s="679" t="s">
        <v>303</v>
      </c>
      <c r="T39" s="679"/>
      <c r="U39" s="679"/>
      <c r="V39" s="679"/>
      <c r="W39" s="679"/>
      <c r="X39" s="679"/>
      <c r="Y39" s="679"/>
      <c r="Z39" s="679"/>
      <c r="AA39" s="679"/>
      <c r="AB39" s="673"/>
      <c r="AC39" s="673"/>
      <c r="AD39" s="673"/>
      <c r="AE39" s="673"/>
      <c r="AF39" s="679"/>
      <c r="AG39" s="679"/>
      <c r="AH39" s="679"/>
      <c r="AI39" s="679"/>
      <c r="AJ39" s="679"/>
      <c r="AK39" s="679"/>
      <c r="AL39" s="679"/>
      <c r="AM39" s="679"/>
      <c r="AN39" s="679"/>
      <c r="AO39" s="679"/>
      <c r="AP39" s="679"/>
      <c r="AQ39" s="679"/>
      <c r="AR39" s="679"/>
      <c r="AS39" s="679"/>
      <c r="AT39" s="679"/>
      <c r="AU39" s="679" t="s">
        <v>304</v>
      </c>
      <c r="BA39" s="4">
        <v>14</v>
      </c>
    </row>
    <row r="40" spans="1:53" ht="14.65" customHeight="1">
      <c r="Q40" s="97"/>
      <c r="R40" s="19"/>
      <c r="S40" s="722" t="s">
        <v>88</v>
      </c>
      <c r="T40" s="722" t="s">
        <v>476</v>
      </c>
      <c r="U40" s="100"/>
      <c r="V40" s="757"/>
      <c r="W40" s="757"/>
      <c r="X40" s="757"/>
      <c r="Y40" s="757"/>
      <c r="Z40" s="758"/>
      <c r="AA40" s="790" t="s">
        <v>433</v>
      </c>
      <c r="AB40" s="777" t="s">
        <v>477</v>
      </c>
      <c r="AC40" s="767"/>
      <c r="AD40" s="767"/>
      <c r="AE40" s="778"/>
      <c r="AF40" s="767" t="s">
        <v>478</v>
      </c>
      <c r="AG40" s="767"/>
      <c r="AH40" s="767"/>
      <c r="AI40" s="778"/>
      <c r="AJ40" s="777" t="s">
        <v>479</v>
      </c>
      <c r="AK40" s="767"/>
      <c r="AL40" s="767"/>
      <c r="AM40" s="778"/>
      <c r="AN40" s="777" t="s">
        <v>432</v>
      </c>
      <c r="AO40" s="767"/>
      <c r="AP40" s="757"/>
      <c r="AQ40" s="757"/>
      <c r="AR40" s="758"/>
      <c r="AS40" s="724" t="s">
        <v>433</v>
      </c>
      <c r="AT40" s="759" t="s">
        <v>435</v>
      </c>
      <c r="AU40" s="679"/>
      <c r="BA40" s="4">
        <v>14</v>
      </c>
    </row>
    <row r="41" spans="1:53" ht="35.65" customHeight="1">
      <c r="Q41" s="97"/>
      <c r="R41" s="19"/>
      <c r="S41" s="722"/>
      <c r="T41" s="722"/>
      <c r="U41" s="349"/>
      <c r="V41" s="679" t="s">
        <v>480</v>
      </c>
      <c r="W41" s="679"/>
      <c r="X41" s="674" t="s">
        <v>439</v>
      </c>
      <c r="Y41" s="697"/>
      <c r="Z41" s="672"/>
      <c r="AA41" s="791"/>
      <c r="AB41" s="779"/>
      <c r="AC41" s="780"/>
      <c r="AD41" s="780"/>
      <c r="AE41" s="789"/>
      <c r="AF41" s="780"/>
      <c r="AG41" s="780"/>
      <c r="AH41" s="780"/>
      <c r="AI41" s="789"/>
      <c r="AJ41" s="779"/>
      <c r="AK41" s="780"/>
      <c r="AL41" s="780"/>
      <c r="AM41" s="780"/>
      <c r="AN41" s="679" t="s">
        <v>480</v>
      </c>
      <c r="AO41" s="679"/>
      <c r="AP41" s="697" t="s">
        <v>439</v>
      </c>
      <c r="AQ41" s="697"/>
      <c r="AR41" s="672"/>
      <c r="AS41" s="725"/>
      <c r="AT41" s="760"/>
      <c r="AU41" s="679"/>
      <c r="BA41" s="4">
        <v>34</v>
      </c>
    </row>
    <row r="42" spans="1:53" ht="14.65" customHeight="1">
      <c r="Q42" s="97"/>
      <c r="R42" s="19"/>
      <c r="S42" s="722"/>
      <c r="T42" s="722"/>
      <c r="U42" s="349"/>
      <c r="V42" s="741" t="str">
        <f>IF($AN$42&lt;&gt;"",$AN$42,"")</f>
        <v/>
      </c>
      <c r="W42" s="741"/>
      <c r="X42" s="677"/>
      <c r="Y42" s="712"/>
      <c r="Z42" s="675"/>
      <c r="AA42" s="791"/>
      <c r="AB42" s="779"/>
      <c r="AC42" s="780"/>
      <c r="AD42" s="780"/>
      <c r="AE42" s="789"/>
      <c r="AF42" s="780"/>
      <c r="AG42" s="780"/>
      <c r="AH42" s="780"/>
      <c r="AI42" s="789"/>
      <c r="AJ42" s="779"/>
      <c r="AK42" s="780"/>
      <c r="AL42" s="780"/>
      <c r="AM42" s="780"/>
      <c r="AN42" s="706"/>
      <c r="AO42" s="706"/>
      <c r="AP42" s="712"/>
      <c r="AQ42" s="712"/>
      <c r="AR42" s="675"/>
      <c r="AS42" s="725"/>
      <c r="AT42" s="760"/>
      <c r="AU42" s="679"/>
      <c r="BA42" s="4">
        <v>14</v>
      </c>
    </row>
    <row r="43" spans="1:53" ht="14.65" customHeight="1">
      <c r="B43" s="43" t="s">
        <v>140</v>
      </c>
      <c r="C43" s="43" t="s">
        <v>141</v>
      </c>
      <c r="D43" s="43" t="s">
        <v>142</v>
      </c>
      <c r="E43" s="43" t="s">
        <v>440</v>
      </c>
      <c r="F43" s="43" t="s">
        <v>441</v>
      </c>
      <c r="G43" s="43" t="s">
        <v>442</v>
      </c>
      <c r="H43" s="43" t="s">
        <v>443</v>
      </c>
      <c r="I43" s="43" t="s">
        <v>444</v>
      </c>
      <c r="J43" s="43" t="s">
        <v>445</v>
      </c>
      <c r="K43" s="43" t="s">
        <v>446</v>
      </c>
      <c r="L43" s="43" t="s">
        <v>421</v>
      </c>
      <c r="Q43" s="97"/>
      <c r="R43" s="19"/>
      <c r="S43" s="722"/>
      <c r="T43" s="722"/>
      <c r="U43" s="101"/>
      <c r="V43" s="24" t="s">
        <v>481</v>
      </c>
      <c r="W43" s="24" t="s">
        <v>482</v>
      </c>
      <c r="X43" s="27" t="s">
        <v>449</v>
      </c>
      <c r="Y43" s="728" t="s">
        <v>450</v>
      </c>
      <c r="Z43" s="734"/>
      <c r="AA43" s="792"/>
      <c r="AB43" s="781"/>
      <c r="AC43" s="782"/>
      <c r="AD43" s="782"/>
      <c r="AE43" s="783"/>
      <c r="AF43" s="782"/>
      <c r="AG43" s="782"/>
      <c r="AH43" s="782"/>
      <c r="AI43" s="783"/>
      <c r="AJ43" s="781"/>
      <c r="AK43" s="782"/>
      <c r="AL43" s="782"/>
      <c r="AM43" s="783"/>
      <c r="AN43" s="588" t="s">
        <v>481</v>
      </c>
      <c r="AO43" s="588" t="s">
        <v>482</v>
      </c>
      <c r="AP43" s="27" t="s">
        <v>449</v>
      </c>
      <c r="AQ43" s="728" t="s">
        <v>450</v>
      </c>
      <c r="AR43" s="734"/>
      <c r="AS43" s="726"/>
      <c r="AT43" s="761"/>
      <c r="AU43" s="679"/>
      <c r="BA43" s="4">
        <v>14</v>
      </c>
    </row>
    <row r="44" spans="1:53" s="117" customFormat="1" ht="11.25" hidden="1" customHeight="1">
      <c r="A44" s="43"/>
      <c r="B44" s="43"/>
      <c r="C44" s="43"/>
      <c r="D44" s="43"/>
      <c r="E44" s="43"/>
      <c r="F44" s="43"/>
      <c r="G44" s="43"/>
      <c r="H44" s="43"/>
      <c r="I44" s="43"/>
      <c r="J44" s="43"/>
      <c r="K44" s="43"/>
      <c r="L44" s="43"/>
      <c r="M44" s="167"/>
      <c r="N44" s="167"/>
      <c r="O44" s="167"/>
      <c r="P44" s="160"/>
      <c r="Q44" s="424"/>
      <c r="R44" s="424">
        <v>1</v>
      </c>
      <c r="S44" s="425" t="s">
        <v>110</v>
      </c>
      <c r="T44" s="425" t="s">
        <v>111</v>
      </c>
      <c r="U44" s="421" t="str">
        <f ca="1">OFFSET(U44,0,-1)</f>
        <v>2</v>
      </c>
      <c r="V44" s="426">
        <f ca="1">OFFSET(V44,0,-1)+1</f>
        <v>3</v>
      </c>
      <c r="W44" s="426">
        <f ca="1">OFFSET(W44,0,-1)+1</f>
        <v>4</v>
      </c>
      <c r="X44" s="426">
        <f ca="1">OFFSET(X44,0,-1)+1</f>
        <v>5</v>
      </c>
      <c r="Y44" s="754">
        <f ca="1">OFFSET(Y44,0,-1)+1</f>
        <v>6</v>
      </c>
      <c r="Z44" s="754"/>
      <c r="AA44" s="426">
        <f ca="1">OFFSET(AA44,0,-2)+1</f>
        <v>7</v>
      </c>
      <c r="AB44" s="157">
        <f ca="1">OFFSET(AB44,0,-1)+1</f>
        <v>8</v>
      </c>
      <c r="AC44" s="157"/>
      <c r="AD44" s="157"/>
      <c r="AE44" s="157"/>
      <c r="AF44" s="426"/>
      <c r="AG44" s="426"/>
      <c r="AH44" s="426"/>
      <c r="AI44" s="426"/>
      <c r="AJ44" s="426"/>
      <c r="AK44" s="426"/>
      <c r="AL44" s="426"/>
      <c r="AM44" s="426"/>
      <c r="AN44" s="426">
        <f ca="1">OFFSET(AN44,0,-1)+1</f>
        <v>1</v>
      </c>
      <c r="AO44" s="426">
        <f ca="1">OFFSET(AO44,0,-1)+1</f>
        <v>2</v>
      </c>
      <c r="AP44" s="426">
        <f ca="1">OFFSET(AP44,0,-1)+1</f>
        <v>3</v>
      </c>
      <c r="AQ44" s="754">
        <f ca="1">OFFSET(AQ44,0,-1)+1</f>
        <v>4</v>
      </c>
      <c r="AR44" s="754"/>
      <c r="AS44" s="426">
        <f ca="1">OFFSET(AS44,0,-2)+1</f>
        <v>5</v>
      </c>
      <c r="AT44" s="421">
        <f ca="1">OFFSET(AT44,0,-1)</f>
        <v>5</v>
      </c>
      <c r="AU44" s="426">
        <f ca="1">OFFSET(AU44,0,-1)+1</f>
        <v>6</v>
      </c>
      <c r="AV44" s="46"/>
      <c r="AW44" s="46"/>
      <c r="AX44" s="46"/>
      <c r="AY44" s="46"/>
      <c r="AZ44" s="46"/>
      <c r="BA44" s="117">
        <v>0</v>
      </c>
    </row>
    <row r="45" spans="1:53" ht="107.25" customHeight="1">
      <c r="A45" s="43" t="s">
        <v>203</v>
      </c>
      <c r="E45" s="745">
        <v>1</v>
      </c>
      <c r="M45" s="43"/>
      <c r="N45" s="43"/>
      <c r="O45" s="43"/>
      <c r="Q45" s="43"/>
      <c r="R45" s="119"/>
      <c r="S45" s="24">
        <f>INDEX(PT_DIFFERENTIATION_NUM_NTAR,MATCH(A45,PT_DIFFERENTIATION_NTAR_ID,0))</f>
        <v>0</v>
      </c>
      <c r="T45" s="29" t="s">
        <v>128</v>
      </c>
      <c r="U45" s="29"/>
      <c r="V45" s="743"/>
      <c r="W45" s="743"/>
      <c r="X45" s="743"/>
      <c r="Y45" s="743"/>
      <c r="Z45" s="743"/>
      <c r="AA45" s="744"/>
      <c r="AB45" s="742" t="str">
        <f>INDEX(PT_DIFFERENTIATION_NTAR,MATCH(A45,PT_DIFFERENTIATION_NTAR_ID,0))</f>
        <v/>
      </c>
      <c r="AC45" s="743"/>
      <c r="AD45" s="743"/>
      <c r="AE45" s="743"/>
      <c r="AF45" s="743"/>
      <c r="AG45" s="743"/>
      <c r="AH45" s="743"/>
      <c r="AI45" s="743"/>
      <c r="AJ45" s="743"/>
      <c r="AK45" s="743"/>
      <c r="AL45" s="743"/>
      <c r="AM45" s="743"/>
      <c r="AN45" s="743"/>
      <c r="AO45" s="743"/>
      <c r="AP45" s="743"/>
      <c r="AQ45" s="743"/>
      <c r="AR45" s="743"/>
      <c r="AS45" s="743"/>
      <c r="AT45" s="744"/>
      <c r="AU45" s="428"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X45" s="46" t="str">
        <f t="shared" ref="AX45:AX51" si="2">IF(T45="","",T45)</f>
        <v>Наименование тарифа</v>
      </c>
      <c r="BA45" s="4">
        <v>102</v>
      </c>
    </row>
    <row r="46" spans="1:53" ht="21.95" customHeight="1">
      <c r="A46" s="43" t="s">
        <v>203</v>
      </c>
      <c r="B46" s="43" t="s">
        <v>204</v>
      </c>
      <c r="E46" s="747"/>
      <c r="F46" s="745">
        <v>1</v>
      </c>
      <c r="M46" s="43"/>
      <c r="N46" s="43"/>
      <c r="O46" s="43"/>
      <c r="P46" s="43"/>
      <c r="Q46" s="468"/>
      <c r="R46" s="119"/>
      <c r="S46" s="24" t="str">
        <f>INDEX(PT_DIFFERENTIATION_NUM_TER,MATCH(B46,PT_DIFFERENTIATION_TER_ID,0))</f>
        <v>.</v>
      </c>
      <c r="T46" s="24" t="s">
        <v>400</v>
      </c>
      <c r="U46" s="29"/>
      <c r="V46" s="743"/>
      <c r="W46" s="743"/>
      <c r="X46" s="743"/>
      <c r="Y46" s="743"/>
      <c r="Z46" s="743"/>
      <c r="AA46" s="744"/>
      <c r="AB46" s="742" t="str">
        <f>INDEX(PT_DIFFERENTIATION_TER,MATCH(B46,PT_DIFFERENTIATION_TER_ID,0))</f>
        <v/>
      </c>
      <c r="AC46" s="743"/>
      <c r="AD46" s="743"/>
      <c r="AE46" s="743"/>
      <c r="AF46" s="743"/>
      <c r="AG46" s="743"/>
      <c r="AH46" s="743"/>
      <c r="AI46" s="743"/>
      <c r="AJ46" s="743"/>
      <c r="AK46" s="743"/>
      <c r="AL46" s="743"/>
      <c r="AM46" s="743"/>
      <c r="AN46" s="743"/>
      <c r="AO46" s="743"/>
      <c r="AP46" s="743"/>
      <c r="AQ46" s="743"/>
      <c r="AR46" s="743"/>
      <c r="AS46" s="743"/>
      <c r="AT46" s="744"/>
      <c r="AU46" s="428" t="s">
        <v>401</v>
      </c>
      <c r="AX46" s="46" t="str">
        <f t="shared" si="2"/>
        <v>Территория действия тарифа</v>
      </c>
      <c r="BA46" s="4">
        <v>21</v>
      </c>
    </row>
    <row r="47" spans="1:53" ht="24" customHeight="1">
      <c r="A47" s="43" t="s">
        <v>203</v>
      </c>
      <c r="B47" s="43" t="s">
        <v>204</v>
      </c>
      <c r="C47" s="43" t="s">
        <v>205</v>
      </c>
      <c r="E47" s="747"/>
      <c r="F47" s="747"/>
      <c r="G47" s="745">
        <v>1</v>
      </c>
      <c r="M47" s="43"/>
      <c r="N47" s="43"/>
      <c r="O47" s="43"/>
      <c r="P47" s="79"/>
      <c r="Q47" s="468"/>
      <c r="R47" s="119"/>
      <c r="S47" s="24" t="str">
        <f>INDEX(PT_DIFFERENTIATION_NUM_CS,MATCH(C47,PT_DIFFERENTIATION_CS_ID,0))</f>
        <v>..</v>
      </c>
      <c r="T47" s="24" t="s">
        <v>402</v>
      </c>
      <c r="U47" s="29"/>
      <c r="V47" s="743"/>
      <c r="W47" s="743"/>
      <c r="X47" s="743"/>
      <c r="Y47" s="743"/>
      <c r="Z47" s="743"/>
      <c r="AA47" s="744"/>
      <c r="AB47" s="742" t="str">
        <f>INDEX(PT_DIFFERENTIATION_CS,MATCH(C47,PT_DIFFERENTIATION_CS_ID,0))</f>
        <v/>
      </c>
      <c r="AC47" s="743"/>
      <c r="AD47" s="743"/>
      <c r="AE47" s="743"/>
      <c r="AF47" s="743"/>
      <c r="AG47" s="743"/>
      <c r="AH47" s="743"/>
      <c r="AI47" s="743"/>
      <c r="AJ47" s="743"/>
      <c r="AK47" s="743"/>
      <c r="AL47" s="743"/>
      <c r="AM47" s="743"/>
      <c r="AN47" s="743"/>
      <c r="AO47" s="743"/>
      <c r="AP47" s="743"/>
      <c r="AQ47" s="743"/>
      <c r="AR47" s="743"/>
      <c r="AS47" s="743"/>
      <c r="AT47" s="744"/>
      <c r="AU47" s="428" t="s">
        <v>403</v>
      </c>
      <c r="AX47" s="46" t="str">
        <f t="shared" si="2"/>
        <v xml:space="preserve">Наименование системы теплоснабжения </v>
      </c>
      <c r="BA47" s="4">
        <v>23</v>
      </c>
    </row>
    <row r="48" spans="1:53" ht="21" customHeight="1">
      <c r="A48" s="43" t="s">
        <v>203</v>
      </c>
      <c r="B48" s="43" t="s">
        <v>204</v>
      </c>
      <c r="C48" s="43" t="s">
        <v>205</v>
      </c>
      <c r="D48" s="43" t="s">
        <v>206</v>
      </c>
      <c r="E48" s="747"/>
      <c r="F48" s="747"/>
      <c r="G48" s="747"/>
      <c r="H48" s="745">
        <v>1</v>
      </c>
      <c r="M48" s="43"/>
      <c r="N48" s="43"/>
      <c r="O48" s="43"/>
      <c r="P48" s="79"/>
      <c r="Q48" s="468"/>
      <c r="R48" s="119"/>
      <c r="S48" s="24" t="str">
        <f>INDEX(PT_DIFFERENTIATION_NUM_IST_TE,MATCH(D48,PT_DIFFERENTIATION_IST_TE_ID,0))</f>
        <v>...</v>
      </c>
      <c r="T48" s="24" t="s">
        <v>404</v>
      </c>
      <c r="U48" s="29"/>
      <c r="V48" s="743"/>
      <c r="W48" s="743"/>
      <c r="X48" s="743"/>
      <c r="Y48" s="743"/>
      <c r="Z48" s="743"/>
      <c r="AA48" s="744"/>
      <c r="AB48" s="742" t="str">
        <f>INDEX(PT_DIFFERENTIATION_IST_TE,MATCH(D48,PT_DIFFERENTIATION_IST_TE_ID,0))</f>
        <v/>
      </c>
      <c r="AC48" s="743"/>
      <c r="AD48" s="743"/>
      <c r="AE48" s="743"/>
      <c r="AF48" s="743"/>
      <c r="AG48" s="743"/>
      <c r="AH48" s="743"/>
      <c r="AI48" s="743"/>
      <c r="AJ48" s="743"/>
      <c r="AK48" s="743"/>
      <c r="AL48" s="743"/>
      <c r="AM48" s="743"/>
      <c r="AN48" s="743"/>
      <c r="AO48" s="743"/>
      <c r="AP48" s="743"/>
      <c r="AQ48" s="743"/>
      <c r="AR48" s="743"/>
      <c r="AS48" s="743"/>
      <c r="AT48" s="744"/>
      <c r="AU48" s="428" t="s">
        <v>405</v>
      </c>
      <c r="AX48" s="46" t="str">
        <f t="shared" si="2"/>
        <v xml:space="preserve">Источник тепловой энергии  </v>
      </c>
      <c r="BA48" s="4">
        <v>20</v>
      </c>
    </row>
    <row r="49" spans="1:53" s="46" customFormat="1" ht="1.1499999999999999" customHeight="1">
      <c r="A49" s="46" t="s">
        <v>203</v>
      </c>
      <c r="B49" s="46" t="s">
        <v>204</v>
      </c>
      <c r="C49" s="46" t="s">
        <v>205</v>
      </c>
      <c r="D49" s="46" t="s">
        <v>206</v>
      </c>
      <c r="E49" s="747"/>
      <c r="F49" s="747"/>
      <c r="G49" s="747"/>
      <c r="H49" s="747"/>
      <c r="I49" s="745" t="str">
        <f>S48&amp;".1"</f>
        <v>....1</v>
      </c>
      <c r="L49" s="46" t="s">
        <v>406</v>
      </c>
      <c r="M49" s="160"/>
      <c r="N49" s="160"/>
      <c r="O49" s="160"/>
      <c r="P49" s="748">
        <v>1</v>
      </c>
      <c r="R49" s="120"/>
      <c r="S49" s="174"/>
      <c r="T49" s="174"/>
      <c r="U49" s="174"/>
      <c r="V49" s="769"/>
      <c r="W49" s="769"/>
      <c r="X49" s="769"/>
      <c r="Y49" s="769"/>
      <c r="Z49" s="769"/>
      <c r="AA49" s="770"/>
      <c r="AB49" s="768"/>
      <c r="AC49" s="769"/>
      <c r="AD49" s="769"/>
      <c r="AE49" s="769"/>
      <c r="AF49" s="769"/>
      <c r="AG49" s="769"/>
      <c r="AH49" s="769"/>
      <c r="AI49" s="769"/>
      <c r="AJ49" s="769"/>
      <c r="AK49" s="769"/>
      <c r="AL49" s="769"/>
      <c r="AM49" s="769"/>
      <c r="AN49" s="769"/>
      <c r="AO49" s="769"/>
      <c r="AP49" s="769"/>
      <c r="AQ49" s="769"/>
      <c r="AR49" s="769"/>
      <c r="AS49" s="769"/>
      <c r="AT49" s="770"/>
      <c r="AU49" s="174"/>
      <c r="AX49" s="46" t="str">
        <f t="shared" si="2"/>
        <v/>
      </c>
      <c r="BA49" s="46">
        <v>1</v>
      </c>
    </row>
    <row r="50" spans="1:53" s="46" customFormat="1" ht="1.1499999999999999" customHeight="1">
      <c r="A50" s="46" t="s">
        <v>203</v>
      </c>
      <c r="B50" s="46" t="s">
        <v>204</v>
      </c>
      <c r="C50" s="46" t="s">
        <v>205</v>
      </c>
      <c r="D50" s="46" t="s">
        <v>206</v>
      </c>
      <c r="E50" s="747"/>
      <c r="F50" s="747"/>
      <c r="G50" s="747"/>
      <c r="H50" s="747"/>
      <c r="I50" s="747"/>
      <c r="J50" s="745" t="str">
        <f>S48&amp;".1"</f>
        <v>....1</v>
      </c>
      <c r="M50" s="160"/>
      <c r="N50" s="160"/>
      <c r="O50" s="160"/>
      <c r="P50" s="748"/>
      <c r="Q50" s="748">
        <v>1</v>
      </c>
      <c r="R50" s="120"/>
      <c r="S50" s="174"/>
      <c r="T50" s="174"/>
      <c r="U50" s="174"/>
      <c r="V50" s="769"/>
      <c r="W50" s="769"/>
      <c r="X50" s="769"/>
      <c r="Y50" s="769"/>
      <c r="Z50" s="769"/>
      <c r="AA50" s="770"/>
      <c r="AB50" s="768"/>
      <c r="AC50" s="769"/>
      <c r="AD50" s="769"/>
      <c r="AE50" s="769"/>
      <c r="AF50" s="769"/>
      <c r="AG50" s="769"/>
      <c r="AH50" s="769"/>
      <c r="AI50" s="769"/>
      <c r="AJ50" s="769"/>
      <c r="AK50" s="769"/>
      <c r="AL50" s="769"/>
      <c r="AM50" s="769"/>
      <c r="AN50" s="769"/>
      <c r="AO50" s="769"/>
      <c r="AP50" s="769"/>
      <c r="AQ50" s="769"/>
      <c r="AR50" s="769"/>
      <c r="AS50" s="769"/>
      <c r="AT50" s="770"/>
      <c r="AU50" s="174"/>
      <c r="AX50" s="46" t="str">
        <f t="shared" si="2"/>
        <v/>
      </c>
      <c r="BA50" s="46">
        <v>1</v>
      </c>
    </row>
    <row r="51" spans="1:53" ht="21.95" customHeight="1">
      <c r="A51" s="43" t="s">
        <v>203</v>
      </c>
      <c r="B51" s="43" t="s">
        <v>204</v>
      </c>
      <c r="C51" s="43" t="s">
        <v>205</v>
      </c>
      <c r="D51" s="43" t="s">
        <v>206</v>
      </c>
      <c r="E51" s="747"/>
      <c r="F51" s="747"/>
      <c r="G51" s="747"/>
      <c r="H51" s="747"/>
      <c r="I51" s="747"/>
      <c r="J51" s="747"/>
      <c r="K51" s="745" t="str">
        <f>S48&amp;".1"</f>
        <v>....1</v>
      </c>
      <c r="P51" s="748"/>
      <c r="Q51" s="748"/>
      <c r="R51" s="120">
        <v>1</v>
      </c>
      <c r="S51" s="724" t="str">
        <f>$K51</f>
        <v>....1</v>
      </c>
      <c r="T51" s="785"/>
      <c r="U51" s="29"/>
      <c r="V51" s="168"/>
      <c r="W51" s="427"/>
      <c r="X51" s="544"/>
      <c r="Y51" s="69" t="s">
        <v>66</v>
      </c>
      <c r="Z51" s="544"/>
      <c r="AA51" s="69" t="s">
        <v>66</v>
      </c>
      <c r="AB51" s="688" t="s">
        <v>19</v>
      </c>
      <c r="AC51" s="784"/>
      <c r="AD51" s="722">
        <v>1</v>
      </c>
      <c r="AE51" s="679" t="s">
        <v>22</v>
      </c>
      <c r="AF51" s="688" t="s">
        <v>19</v>
      </c>
      <c r="AG51" s="784"/>
      <c r="AH51" s="722">
        <v>1</v>
      </c>
      <c r="AI51" s="679" t="s">
        <v>22</v>
      </c>
      <c r="AJ51" s="688" t="s">
        <v>19</v>
      </c>
      <c r="AK51" s="29"/>
      <c r="AL51" s="148">
        <v>1</v>
      </c>
      <c r="AM51" s="29"/>
      <c r="AN51" s="168"/>
      <c r="AO51" s="427"/>
      <c r="AP51" s="544"/>
      <c r="AQ51" s="69" t="s">
        <v>66</v>
      </c>
      <c r="AR51" s="544"/>
      <c r="AS51" s="69" t="s">
        <v>66</v>
      </c>
      <c r="AT51" s="345"/>
      <c r="AU51" s="762" t="s">
        <v>483</v>
      </c>
      <c r="AV51" s="46" t="e">
        <f ca="1">STRCHECKDATE(V54:AT54)</f>
        <v>#NAME?</v>
      </c>
      <c r="AX51" s="46" t="str">
        <f t="shared" si="2"/>
        <v/>
      </c>
      <c r="BA51" s="4">
        <v>21</v>
      </c>
    </row>
    <row r="52" spans="1:53" ht="11.45" customHeight="1">
      <c r="A52" s="43" t="s">
        <v>203</v>
      </c>
      <c r="E52" s="747"/>
      <c r="F52" s="747"/>
      <c r="G52" s="747"/>
      <c r="H52" s="747"/>
      <c r="I52" s="747"/>
      <c r="J52" s="747"/>
      <c r="K52" s="745"/>
      <c r="P52" s="748"/>
      <c r="Q52" s="748"/>
      <c r="R52" s="120"/>
      <c r="S52" s="725"/>
      <c r="T52" s="786"/>
      <c r="U52" s="29"/>
      <c r="V52" s="457"/>
      <c r="W52" s="477"/>
      <c r="X52" s="457"/>
      <c r="Y52" s="457"/>
      <c r="Z52" s="457"/>
      <c r="AA52" s="457"/>
      <c r="AB52" s="688"/>
      <c r="AC52" s="784"/>
      <c r="AD52" s="722"/>
      <c r="AE52" s="679"/>
      <c r="AF52" s="688"/>
      <c r="AG52" s="784"/>
      <c r="AH52" s="722"/>
      <c r="AI52" s="679"/>
      <c r="AJ52" s="688"/>
      <c r="AK52" s="98"/>
      <c r="AL52" s="37"/>
      <c r="AM52" s="37" t="s">
        <v>468</v>
      </c>
      <c r="AN52" s="457"/>
      <c r="AO52" s="477"/>
      <c r="AP52" s="457"/>
      <c r="AQ52" s="457"/>
      <c r="AR52" s="457"/>
      <c r="AS52" s="457"/>
      <c r="AT52" s="456"/>
      <c r="AU52" s="763"/>
      <c r="BA52" s="4">
        <v>11</v>
      </c>
    </row>
    <row r="53" spans="1:53" ht="11.45" customHeight="1">
      <c r="A53" s="43" t="s">
        <v>203</v>
      </c>
      <c r="E53" s="747"/>
      <c r="F53" s="747"/>
      <c r="G53" s="747"/>
      <c r="H53" s="747"/>
      <c r="I53" s="747"/>
      <c r="J53" s="747"/>
      <c r="K53" s="745"/>
      <c r="P53" s="748"/>
      <c r="Q53" s="748"/>
      <c r="R53" s="120"/>
      <c r="S53" s="725"/>
      <c r="T53" s="786"/>
      <c r="U53" s="29"/>
      <c r="V53" s="457"/>
      <c r="W53" s="477"/>
      <c r="X53" s="457"/>
      <c r="Y53" s="457"/>
      <c r="Z53" s="457"/>
      <c r="AA53" s="457"/>
      <c r="AB53" s="688"/>
      <c r="AC53" s="784"/>
      <c r="AD53" s="722"/>
      <c r="AE53" s="679"/>
      <c r="AF53" s="688"/>
      <c r="AG53" s="98"/>
      <c r="AH53" s="37"/>
      <c r="AI53" s="37" t="s">
        <v>469</v>
      </c>
      <c r="AJ53" s="457"/>
      <c r="AK53" s="457"/>
      <c r="AL53" s="457"/>
      <c r="AM53" s="457"/>
      <c r="AN53" s="457"/>
      <c r="AO53" s="477"/>
      <c r="AP53" s="457"/>
      <c r="AQ53" s="457"/>
      <c r="AR53" s="457"/>
      <c r="AS53" s="457"/>
      <c r="AT53" s="456"/>
      <c r="AU53" s="763"/>
      <c r="BA53" s="4">
        <v>11</v>
      </c>
    </row>
    <row r="54" spans="1:53" ht="11.45" customHeight="1">
      <c r="A54" s="43" t="s">
        <v>203</v>
      </c>
      <c r="B54" s="43" t="s">
        <v>204</v>
      </c>
      <c r="C54" s="43" t="s">
        <v>205</v>
      </c>
      <c r="D54" s="43" t="s">
        <v>206</v>
      </c>
      <c r="E54" s="747"/>
      <c r="F54" s="747"/>
      <c r="G54" s="747"/>
      <c r="H54" s="747"/>
      <c r="I54" s="747"/>
      <c r="J54" s="747"/>
      <c r="K54" s="745"/>
      <c r="P54" s="748"/>
      <c r="Q54" s="748"/>
      <c r="R54" s="120"/>
      <c r="S54" s="726"/>
      <c r="T54" s="787"/>
      <c r="U54" s="29"/>
      <c r="V54" s="457"/>
      <c r="W54" s="458" t="str">
        <f>X51&amp;"-"&amp;Z51</f>
        <v>-</v>
      </c>
      <c r="X54" s="457"/>
      <c r="Y54" s="457"/>
      <c r="Z54" s="457"/>
      <c r="AA54" s="457"/>
      <c r="AB54" s="688"/>
      <c r="AC54" s="98"/>
      <c r="AD54" s="37"/>
      <c r="AE54" s="37" t="s">
        <v>470</v>
      </c>
      <c r="AF54" s="457"/>
      <c r="AG54" s="457"/>
      <c r="AH54" s="457"/>
      <c r="AI54" s="457"/>
      <c r="AJ54" s="457"/>
      <c r="AK54" s="457"/>
      <c r="AL54" s="457"/>
      <c r="AM54" s="457"/>
      <c r="AN54" s="457"/>
      <c r="AO54" s="458" t="str">
        <f>AP51&amp;"-"&amp;AR51</f>
        <v>-</v>
      </c>
      <c r="AP54" s="457"/>
      <c r="AQ54" s="457"/>
      <c r="AR54" s="457"/>
      <c r="AS54" s="457"/>
      <c r="AT54" s="450"/>
      <c r="AU54" s="763"/>
      <c r="AX54" s="46" t="str">
        <f t="shared" ref="AX54:AX62" si="3">IF(T54="","",T54)</f>
        <v/>
      </c>
      <c r="BA54" s="4">
        <v>11</v>
      </c>
    </row>
    <row r="55" spans="1:53" ht="11.45" customHeight="1">
      <c r="A55" s="43" t="s">
        <v>203</v>
      </c>
      <c r="B55" s="43" t="s">
        <v>204</v>
      </c>
      <c r="C55" s="43" t="s">
        <v>205</v>
      </c>
      <c r="D55" s="43" t="s">
        <v>206</v>
      </c>
      <c r="E55" s="747"/>
      <c r="F55" s="747"/>
      <c r="G55" s="747"/>
      <c r="H55" s="747"/>
      <c r="I55" s="747"/>
      <c r="J55" s="745"/>
      <c r="P55" s="748"/>
      <c r="Q55" s="748"/>
      <c r="R55" s="120"/>
      <c r="S55" s="434"/>
      <c r="T55" s="37" t="s">
        <v>471</v>
      </c>
      <c r="U55" s="58"/>
      <c r="V55" s="58"/>
      <c r="W55" s="58"/>
      <c r="X55" s="58"/>
      <c r="Y55" s="58"/>
      <c r="Z55" s="58"/>
      <c r="AA55" s="59"/>
      <c r="AB55" s="184"/>
      <c r="AC55" s="58"/>
      <c r="AD55" s="58"/>
      <c r="AE55" s="58"/>
      <c r="AF55" s="58"/>
      <c r="AG55" s="58"/>
      <c r="AH55" s="58"/>
      <c r="AI55" s="58"/>
      <c r="AJ55" s="58"/>
      <c r="AK55" s="58"/>
      <c r="AL55" s="58"/>
      <c r="AM55" s="58"/>
      <c r="AN55" s="58"/>
      <c r="AO55" s="58"/>
      <c r="AP55" s="58"/>
      <c r="AQ55" s="58"/>
      <c r="AR55" s="58"/>
      <c r="AS55" s="58"/>
      <c r="AT55" s="59"/>
      <c r="AU55" s="764"/>
      <c r="AX55" s="46" t="str">
        <f t="shared" si="3"/>
        <v>Добавить строку</v>
      </c>
      <c r="BA55" s="4">
        <v>11</v>
      </c>
    </row>
    <row r="56" spans="1:53" s="46" customFormat="1" ht="1.1499999999999999" customHeight="1">
      <c r="A56" s="46" t="s">
        <v>203</v>
      </c>
      <c r="B56" s="46" t="s">
        <v>204</v>
      </c>
      <c r="C56" s="46" t="s">
        <v>205</v>
      </c>
      <c r="D56" s="46" t="s">
        <v>206</v>
      </c>
      <c r="E56" s="747"/>
      <c r="F56" s="747"/>
      <c r="G56" s="747"/>
      <c r="H56" s="747"/>
      <c r="I56" s="745"/>
      <c r="M56" s="160"/>
      <c r="N56" s="160"/>
      <c r="O56" s="160"/>
      <c r="P56" s="748"/>
      <c r="R56" s="120"/>
      <c r="S56" s="455"/>
      <c r="T56" s="354" t="s">
        <v>415</v>
      </c>
      <c r="U56" s="354"/>
      <c r="V56" s="354"/>
      <c r="W56" s="354"/>
      <c r="X56" s="354"/>
      <c r="Y56" s="354"/>
      <c r="Z56" s="354"/>
      <c r="AA56" s="354"/>
      <c r="AB56" s="354"/>
      <c r="AC56" s="354"/>
      <c r="AD56" s="354"/>
      <c r="AE56" s="354"/>
      <c r="AF56" s="354"/>
      <c r="AG56" s="354"/>
      <c r="AH56" s="354"/>
      <c r="AI56" s="354"/>
      <c r="AJ56" s="354"/>
      <c r="AK56" s="354"/>
      <c r="AL56" s="354"/>
      <c r="AM56" s="354"/>
      <c r="AN56" s="354"/>
      <c r="AO56" s="354"/>
      <c r="AP56" s="354"/>
      <c r="AQ56" s="354"/>
      <c r="AR56" s="354"/>
      <c r="AS56" s="354"/>
      <c r="AT56" s="354"/>
      <c r="AU56" s="314"/>
      <c r="AX56" s="46" t="str">
        <f t="shared" si="3"/>
        <v>Добавить группу потребителей</v>
      </c>
      <c r="BA56" s="46">
        <v>1</v>
      </c>
    </row>
    <row r="57" spans="1:53" s="117" customFormat="1" ht="1.1499999999999999" customHeight="1">
      <c r="A57" s="46" t="s">
        <v>203</v>
      </c>
      <c r="B57" s="46" t="s">
        <v>204</v>
      </c>
      <c r="C57" s="46" t="s">
        <v>205</v>
      </c>
      <c r="D57" s="46" t="s">
        <v>206</v>
      </c>
      <c r="E57" s="747"/>
      <c r="F57" s="747"/>
      <c r="G57" s="747"/>
      <c r="H57" s="745"/>
      <c r="I57" s="46"/>
      <c r="J57" s="46"/>
      <c r="K57" s="46"/>
      <c r="L57" s="46"/>
      <c r="M57" s="46"/>
      <c r="N57" s="46"/>
      <c r="O57" s="46"/>
      <c r="P57" s="46"/>
      <c r="Q57" s="446"/>
      <c r="R57" s="462"/>
      <c r="S57" s="455"/>
      <c r="T57" s="354"/>
      <c r="U57" s="354"/>
      <c r="V57" s="354"/>
      <c r="W57" s="354"/>
      <c r="X57" s="354"/>
      <c r="Y57" s="354"/>
      <c r="Z57" s="354"/>
      <c r="AA57" s="354"/>
      <c r="AB57" s="354"/>
      <c r="AC57" s="354"/>
      <c r="AD57" s="354"/>
      <c r="AE57" s="354"/>
      <c r="AF57" s="354"/>
      <c r="AG57" s="354"/>
      <c r="AH57" s="354"/>
      <c r="AI57" s="354"/>
      <c r="AJ57" s="354"/>
      <c r="AK57" s="354"/>
      <c r="AL57" s="354"/>
      <c r="AM57" s="354"/>
      <c r="AN57" s="354"/>
      <c r="AO57" s="354"/>
      <c r="AP57" s="354"/>
      <c r="AQ57" s="354"/>
      <c r="AR57" s="354"/>
      <c r="AS57" s="354"/>
      <c r="AT57" s="354"/>
      <c r="AU57" s="314"/>
      <c r="AV57" s="46"/>
      <c r="AW57" s="46"/>
      <c r="AX57" s="46" t="str">
        <f t="shared" si="3"/>
        <v/>
      </c>
      <c r="AY57" s="46"/>
      <c r="AZ57" s="46"/>
      <c r="BA57" s="117">
        <v>1</v>
      </c>
    </row>
    <row r="58" spans="1:53" s="46" customFormat="1" ht="1.1499999999999999" customHeight="1">
      <c r="A58" s="46" t="s">
        <v>203</v>
      </c>
      <c r="B58" s="46" t="s">
        <v>204</v>
      </c>
      <c r="C58" s="46" t="s">
        <v>205</v>
      </c>
      <c r="E58" s="747"/>
      <c r="F58" s="747"/>
      <c r="G58" s="745"/>
      <c r="Q58" s="446"/>
      <c r="S58" s="449"/>
      <c r="T58" s="160" t="s">
        <v>417</v>
      </c>
      <c r="U58" s="160"/>
      <c r="V58" s="160"/>
      <c r="W58" s="160"/>
      <c r="X58" s="160"/>
      <c r="Y58" s="160"/>
      <c r="Z58" s="160"/>
      <c r="AA58" s="160"/>
      <c r="AB58" s="160"/>
      <c r="AC58" s="160"/>
      <c r="AD58" s="160"/>
      <c r="AE58" s="160"/>
      <c r="AF58" s="160"/>
      <c r="AG58" s="160"/>
      <c r="AH58" s="160"/>
      <c r="AI58" s="160"/>
      <c r="AJ58" s="160"/>
      <c r="AK58" s="160"/>
      <c r="AL58" s="160"/>
      <c r="AM58" s="160"/>
      <c r="AN58" s="160"/>
      <c r="AO58" s="160"/>
      <c r="AP58" s="160"/>
      <c r="AQ58" s="160"/>
      <c r="AR58" s="160"/>
      <c r="AS58" s="160"/>
      <c r="AT58" s="160"/>
      <c r="AU58" s="160"/>
      <c r="AX58" s="46" t="str">
        <f t="shared" si="3"/>
        <v>Добавить источник для дифференциации</v>
      </c>
      <c r="BA58" s="46">
        <v>1</v>
      </c>
    </row>
    <row r="59" spans="1:53" s="46" customFormat="1" ht="1.1499999999999999" customHeight="1">
      <c r="A59" s="46" t="s">
        <v>203</v>
      </c>
      <c r="B59" s="46" t="s">
        <v>204</v>
      </c>
      <c r="E59" s="747"/>
      <c r="F59" s="745"/>
      <c r="M59" s="160"/>
      <c r="N59" s="160"/>
      <c r="Q59" s="446"/>
      <c r="S59" s="449"/>
      <c r="T59" s="160" t="s">
        <v>418</v>
      </c>
      <c r="U59" s="160"/>
      <c r="V59" s="160"/>
      <c r="W59" s="160"/>
      <c r="X59" s="160"/>
      <c r="Y59" s="160"/>
      <c r="Z59" s="160"/>
      <c r="AA59" s="160"/>
      <c r="AB59" s="160"/>
      <c r="AC59" s="160"/>
      <c r="AD59" s="160"/>
      <c r="AE59" s="160"/>
      <c r="AF59" s="160"/>
      <c r="AG59" s="160"/>
      <c r="AH59" s="160"/>
      <c r="AI59" s="160"/>
      <c r="AJ59" s="160"/>
      <c r="AK59" s="160"/>
      <c r="AL59" s="160"/>
      <c r="AM59" s="160"/>
      <c r="AN59" s="160"/>
      <c r="AO59" s="160"/>
      <c r="AP59" s="160"/>
      <c r="AQ59" s="160"/>
      <c r="AR59" s="160"/>
      <c r="AS59" s="160"/>
      <c r="AT59" s="160"/>
      <c r="AU59" s="160"/>
      <c r="AX59" s="46" t="str">
        <f t="shared" si="3"/>
        <v>Добавить централизованную систему для дифференциации</v>
      </c>
      <c r="BA59" s="46">
        <v>1</v>
      </c>
    </row>
    <row r="60" spans="1:53" s="46" customFormat="1" ht="1.1499999999999999" customHeight="1">
      <c r="A60" s="46" t="s">
        <v>203</v>
      </c>
      <c r="E60" s="747"/>
      <c r="M60" s="160"/>
      <c r="N60" s="160"/>
      <c r="Q60" s="446"/>
      <c r="S60" s="449"/>
      <c r="T60" s="160" t="s">
        <v>419</v>
      </c>
      <c r="U60" s="160"/>
      <c r="V60" s="160"/>
      <c r="W60" s="160"/>
      <c r="X60" s="160"/>
      <c r="Y60" s="160"/>
      <c r="Z60" s="160"/>
      <c r="AA60" s="160"/>
      <c r="AB60" s="160"/>
      <c r="AC60" s="160"/>
      <c r="AD60" s="160"/>
      <c r="AE60" s="160"/>
      <c r="AF60" s="160"/>
      <c r="AG60" s="160"/>
      <c r="AH60" s="160"/>
      <c r="AI60" s="160"/>
      <c r="AJ60" s="160"/>
      <c r="AK60" s="160"/>
      <c r="AL60" s="160"/>
      <c r="AM60" s="160"/>
      <c r="AN60" s="160"/>
      <c r="AO60" s="160"/>
      <c r="AP60" s="160"/>
      <c r="AQ60" s="160"/>
      <c r="AR60" s="160"/>
      <c r="AS60" s="160"/>
      <c r="AT60" s="160"/>
      <c r="AU60" s="160"/>
      <c r="AX60" s="46" t="str">
        <f t="shared" si="3"/>
        <v>Добавить территорию для дифференциации</v>
      </c>
      <c r="BA60" s="46">
        <v>1</v>
      </c>
    </row>
    <row r="61" spans="1:53" s="46" customFormat="1" ht="1.1499999999999999" customHeight="1">
      <c r="A61" s="46" t="s">
        <v>203</v>
      </c>
      <c r="E61" s="745"/>
      <c r="M61" s="160"/>
      <c r="N61" s="160"/>
      <c r="Q61" s="446"/>
      <c r="S61" s="449"/>
      <c r="T61" s="160" t="s">
        <v>419</v>
      </c>
      <c r="U61" s="160"/>
      <c r="V61" s="160"/>
      <c r="W61" s="160"/>
      <c r="X61" s="160"/>
      <c r="Y61" s="160"/>
      <c r="Z61" s="160"/>
      <c r="AA61" s="160"/>
      <c r="AB61" s="160"/>
      <c r="AC61" s="160"/>
      <c r="AD61" s="160"/>
      <c r="AE61" s="160"/>
      <c r="AF61" s="160"/>
      <c r="AG61" s="160"/>
      <c r="AH61" s="160"/>
      <c r="AI61" s="160"/>
      <c r="AJ61" s="160"/>
      <c r="AK61" s="160"/>
      <c r="AL61" s="160"/>
      <c r="AM61" s="160"/>
      <c r="AN61" s="160"/>
      <c r="AO61" s="160"/>
      <c r="AP61" s="160"/>
      <c r="AQ61" s="160"/>
      <c r="AR61" s="160"/>
      <c r="AS61" s="160"/>
      <c r="AT61" s="160"/>
      <c r="AU61" s="160"/>
      <c r="AX61" s="46" t="str">
        <f t="shared" si="3"/>
        <v>Добавить территорию для дифференциации</v>
      </c>
      <c r="BA61" s="46">
        <v>1</v>
      </c>
    </row>
    <row r="62" spans="1:53" s="46" customFormat="1" ht="1.1499999999999999" customHeight="1">
      <c r="M62" s="160"/>
      <c r="N62" s="160"/>
      <c r="Q62" s="446"/>
      <c r="S62" s="449"/>
      <c r="T62" s="160" t="s">
        <v>451</v>
      </c>
      <c r="U62" s="160"/>
      <c r="V62" s="160"/>
      <c r="W62" s="160"/>
      <c r="X62" s="160"/>
      <c r="Y62" s="160"/>
      <c r="Z62" s="160"/>
      <c r="AA62" s="160"/>
      <c r="AB62" s="160"/>
      <c r="AC62" s="160"/>
      <c r="AD62" s="160"/>
      <c r="AE62" s="160"/>
      <c r="AF62" s="160"/>
      <c r="AG62" s="160"/>
      <c r="AH62" s="160"/>
      <c r="AI62" s="160"/>
      <c r="AJ62" s="160"/>
      <c r="AK62" s="160"/>
      <c r="AL62" s="160"/>
      <c r="AM62" s="160"/>
      <c r="AN62" s="160"/>
      <c r="AO62" s="160"/>
      <c r="AP62" s="160"/>
      <c r="AQ62" s="160"/>
      <c r="AR62" s="160"/>
      <c r="AS62" s="160"/>
      <c r="AT62" s="160"/>
      <c r="AU62" s="160"/>
      <c r="AX62" s="46" t="str">
        <f t="shared" si="3"/>
        <v>Добавить наименование тарифа</v>
      </c>
      <c r="BA62" s="46">
        <v>1</v>
      </c>
    </row>
    <row r="63" spans="1:53" ht="11.45" customHeight="1">
      <c r="M63" s="43"/>
      <c r="N63" s="43"/>
      <c r="O63" s="43"/>
      <c r="P63" s="43"/>
      <c r="Q63" s="43"/>
      <c r="R63" s="4"/>
      <c r="AV63" s="4"/>
      <c r="AW63" s="4"/>
      <c r="AX63" s="4"/>
      <c r="AY63" s="4"/>
      <c r="AZ63" s="4"/>
      <c r="BA63" s="4">
        <v>11</v>
      </c>
    </row>
    <row r="64" spans="1:53" ht="19.899999999999999" customHeight="1">
      <c r="O64" s="43"/>
      <c r="T64" s="665"/>
      <c r="U64" s="665"/>
      <c r="V64" s="665"/>
      <c r="W64" s="665"/>
      <c r="X64" s="665"/>
      <c r="Y64" s="665"/>
      <c r="Z64" s="665"/>
      <c r="AA64" s="665"/>
      <c r="AB64" s="665"/>
      <c r="AC64" s="665"/>
      <c r="AD64" s="665"/>
      <c r="AE64" s="665"/>
      <c r="AF64" s="665"/>
      <c r="AG64" s="665"/>
      <c r="AH64" s="665"/>
      <c r="AI64" s="665"/>
      <c r="AJ64" s="665"/>
      <c r="AK64" s="665"/>
      <c r="AL64" s="665"/>
      <c r="AM64" s="665"/>
      <c r="AN64" s="665"/>
      <c r="AO64" s="665"/>
      <c r="AP64" s="665"/>
      <c r="AQ64" s="665"/>
      <c r="AR64" s="665"/>
      <c r="AS64" s="665"/>
      <c r="AT64" s="665"/>
      <c r="AU64" s="665"/>
      <c r="BA64" s="4">
        <v>19</v>
      </c>
    </row>
    <row r="65" spans="1:53" ht="21" customHeight="1">
      <c r="O65" s="43"/>
      <c r="T65" s="665"/>
      <c r="U65" s="665"/>
      <c r="V65" s="665"/>
      <c r="W65" s="665"/>
      <c r="X65" s="665"/>
      <c r="Y65" s="665"/>
      <c r="Z65" s="665"/>
      <c r="AA65" s="665"/>
      <c r="AB65" s="665"/>
      <c r="AC65" s="665"/>
      <c r="AD65" s="665"/>
      <c r="AE65" s="665"/>
      <c r="AF65" s="665"/>
      <c r="AG65" s="665"/>
      <c r="AH65" s="665"/>
      <c r="AI65" s="665"/>
      <c r="AJ65" s="665"/>
      <c r="AK65" s="665"/>
      <c r="AL65" s="665"/>
      <c r="AM65" s="665"/>
      <c r="AN65" s="665"/>
      <c r="AO65" s="665"/>
      <c r="AP65" s="665"/>
      <c r="AQ65" s="665"/>
      <c r="AR65" s="665"/>
      <c r="AS65" s="665"/>
      <c r="AT65" s="665"/>
      <c r="AU65" s="665"/>
      <c r="BA65" s="4">
        <v>20</v>
      </c>
    </row>
    <row r="66" spans="1:53" ht="14.65" customHeight="1">
      <c r="O66" s="43"/>
      <c r="BA66" s="4">
        <v>14</v>
      </c>
    </row>
    <row r="67" spans="1:53" ht="19.899999999999999" customHeight="1">
      <c r="O67" s="43"/>
      <c r="T67" s="665"/>
      <c r="U67" s="665"/>
      <c r="V67" s="665"/>
      <c r="W67" s="665"/>
      <c r="X67" s="665"/>
      <c r="Y67" s="665"/>
      <c r="Z67" s="665"/>
      <c r="AA67" s="665"/>
      <c r="AB67" s="665"/>
      <c r="AC67" s="665"/>
      <c r="AD67" s="665"/>
      <c r="AE67" s="665"/>
      <c r="AF67" s="665"/>
      <c r="AG67" s="665"/>
      <c r="AH67" s="665"/>
      <c r="AI67" s="665"/>
      <c r="AJ67" s="665"/>
      <c r="AK67" s="665"/>
      <c r="AL67" s="665"/>
      <c r="AM67" s="665"/>
      <c r="AN67" s="665"/>
      <c r="AO67" s="665"/>
      <c r="AP67" s="665"/>
      <c r="AQ67" s="665"/>
      <c r="AR67" s="665"/>
      <c r="AS67" s="665"/>
      <c r="AT67" s="665"/>
      <c r="AU67" s="665"/>
      <c r="BA67" s="4">
        <v>19</v>
      </c>
    </row>
    <row r="68" spans="1:53" ht="16.899999999999999" customHeight="1">
      <c r="O68" s="43"/>
      <c r="T68" s="665"/>
      <c r="U68" s="665"/>
      <c r="V68" s="665"/>
      <c r="W68" s="665"/>
      <c r="X68" s="665"/>
      <c r="Y68" s="665"/>
      <c r="Z68" s="665"/>
      <c r="AA68" s="665"/>
      <c r="AB68" s="665"/>
      <c r="AC68" s="665"/>
      <c r="AD68" s="665"/>
      <c r="AE68" s="665"/>
      <c r="AF68" s="665"/>
      <c r="AG68" s="665"/>
      <c r="AH68" s="665"/>
      <c r="AI68" s="665"/>
      <c r="AJ68" s="665"/>
      <c r="AK68" s="665"/>
      <c r="AL68" s="665"/>
      <c r="AM68" s="665"/>
      <c r="AN68" s="665"/>
      <c r="AO68" s="665"/>
      <c r="AP68" s="665"/>
      <c r="AQ68" s="665"/>
      <c r="AR68" s="665"/>
      <c r="AS68" s="665"/>
      <c r="AT68" s="665"/>
      <c r="AU68" s="665"/>
      <c r="BA68" s="4">
        <v>16</v>
      </c>
    </row>
    <row r="69" spans="1:53" ht="14.65" customHeight="1">
      <c r="O69" s="43"/>
      <c r="BA69" s="4">
        <v>14</v>
      </c>
    </row>
    <row r="70" spans="1:53" ht="22.5" hidden="1" customHeight="1">
      <c r="A70" s="43" t="s">
        <v>82</v>
      </c>
      <c r="B70" s="43">
        <v>0</v>
      </c>
      <c r="C70" s="43">
        <v>0</v>
      </c>
      <c r="D70" s="43">
        <v>0</v>
      </c>
      <c r="E70" s="43">
        <v>0</v>
      </c>
      <c r="F70" s="43">
        <v>0</v>
      </c>
      <c r="G70" s="43">
        <v>0</v>
      </c>
      <c r="H70" s="43">
        <v>0</v>
      </c>
      <c r="I70" s="43">
        <v>0</v>
      </c>
      <c r="J70" s="43">
        <v>0</v>
      </c>
      <c r="K70" s="43">
        <v>0</v>
      </c>
      <c r="L70" s="43">
        <v>0</v>
      </c>
      <c r="M70" s="167">
        <v>0</v>
      </c>
      <c r="N70" s="167">
        <v>0</v>
      </c>
      <c r="O70" s="167">
        <v>0</v>
      </c>
      <c r="P70" s="167">
        <v>3</v>
      </c>
      <c r="Q70" s="452">
        <v>3</v>
      </c>
      <c r="R70" s="20">
        <v>3</v>
      </c>
      <c r="S70" s="4">
        <v>12</v>
      </c>
      <c r="T70" s="4">
        <v>31</v>
      </c>
      <c r="U70" s="4">
        <v>0</v>
      </c>
      <c r="V70" s="4">
        <v>0</v>
      </c>
      <c r="W70" s="4">
        <v>0</v>
      </c>
      <c r="X70" s="4">
        <v>0</v>
      </c>
      <c r="Y70" s="4">
        <v>0</v>
      </c>
      <c r="Z70" s="4">
        <v>0</v>
      </c>
      <c r="AA70" s="4">
        <v>0</v>
      </c>
      <c r="AB70" s="4">
        <v>5</v>
      </c>
      <c r="AC70" s="4">
        <v>3</v>
      </c>
      <c r="AD70" s="4">
        <v>3</v>
      </c>
      <c r="AE70" s="4">
        <v>24</v>
      </c>
      <c r="AF70" s="4">
        <v>3</v>
      </c>
      <c r="AG70" s="4">
        <v>3</v>
      </c>
      <c r="AH70" s="4">
        <v>3</v>
      </c>
      <c r="AI70" s="4">
        <v>24</v>
      </c>
      <c r="AJ70" s="4">
        <v>3</v>
      </c>
      <c r="AK70" s="4">
        <v>3</v>
      </c>
      <c r="AL70" s="4">
        <v>3</v>
      </c>
      <c r="AM70" s="4">
        <v>18</v>
      </c>
      <c r="AN70" s="4">
        <v>21</v>
      </c>
      <c r="AO70" s="4">
        <v>21</v>
      </c>
      <c r="AP70" s="4">
        <v>11</v>
      </c>
      <c r="AQ70" s="4">
        <v>3</v>
      </c>
      <c r="AR70" s="4">
        <v>11</v>
      </c>
      <c r="AS70" s="4">
        <v>8</v>
      </c>
      <c r="AT70" s="4">
        <v>4</v>
      </c>
      <c r="AU70" s="4">
        <v>115</v>
      </c>
      <c r="AV70" s="46">
        <v>10</v>
      </c>
      <c r="AW70" s="46">
        <v>10</v>
      </c>
      <c r="AX70" s="46">
        <v>10</v>
      </c>
      <c r="AY70" s="46">
        <v>10</v>
      </c>
      <c r="AZ70" s="46">
        <v>10</v>
      </c>
      <c r="BA70" s="4">
        <v>23</v>
      </c>
    </row>
  </sheetData>
  <sheetProtection formatColumns="0" formatRows="0" insertRows="0" deleteColumns="0" deleteRows="0" sort="0" autoFilter="0"/>
  <mergeCells count="119">
    <mergeCell ref="AU8:AU12"/>
    <mergeCell ref="AJ8:AJ9"/>
    <mergeCell ref="AB8:AB11"/>
    <mergeCell ref="AC8:AC10"/>
    <mergeCell ref="AD8:AD10"/>
    <mergeCell ref="AI8:AI9"/>
    <mergeCell ref="S33:T33"/>
    <mergeCell ref="V33:Z33"/>
    <mergeCell ref="AB33:AR33"/>
    <mergeCell ref="S32:T32"/>
    <mergeCell ref="V32:Z32"/>
    <mergeCell ref="AB32:AR3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X41:Z42"/>
    <mergeCell ref="Y43:Z43"/>
    <mergeCell ref="AQ43:AR43"/>
  </mergeCells>
  <dataValidations count="10">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xr:uid="{00000000-0002-0000-1300-000000000000}"/>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xr:uid="{00000000-0002-0000-1300-000001000000}">
      <formula1>900</formula1>
    </dataValidation>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xr:uid="{00000000-0002-0000-1300-00000200000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xr:uid="{00000000-0002-0000-1300-000003000000}"/>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xr:uid="{00000000-0002-0000-1300-000004000000}">
      <formula1>kind_of_scheme_in</formula1>
    </dataValidation>
    <dataValidation type="list" allowBlank="1" showInputMessage="1" showErrorMessage="1" errorTitle="Ошибка" error="Выберите значение из списка" sqref="T65590 T131126 T196662 T262198 T327734 T393270 T458806 T524342 T589878 T655414 T720950 T786486 T852022 T917558 T983094" xr:uid="{00000000-0002-0000-1300-000005000000}">
      <formula1>kind_of_heat_transfer</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xr:uid="{00000000-0002-0000-1300-000006000000}"/>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xr:uid="{00000000-0002-0000-1300-000007000000}">
      <formula1>kind_of_cons</formula1>
    </dataValidation>
    <dataValidation type="list" allowBlank="1" showInputMessage="1" showErrorMessage="1" errorTitle="Ошибка" error="Выберите значение из списка" prompt="Выберите значение из списка" sqref="AN42:AO42" xr:uid="{00000000-0002-0000-1300-000008000000}">
      <formula1>UNIT_CONNECT_LIST</formula1>
    </dataValidation>
    <dataValidation allowBlank="1" errorTitle="Ошибка" error="Выберите значение из списка" sqref="V42:W42" xr:uid="{00000000-0002-0000-1300-00000900000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97B83E-1D1A-01DA-B605-7F23B217B485}">
  <sheetPr>
    <tabColor theme="6" tint="0.39997558519241921"/>
  </sheetPr>
  <dimension ref="A1:AQ58"/>
  <sheetViews>
    <sheetView showGridLines="0" zoomScale="90" workbookViewId="0">
      <pane xSplit="28" ySplit="40" topLeftCell="AC41" activePane="bottomRight" state="frozen"/>
      <selection pane="topRight" activeCell="AC1" sqref="AC1"/>
      <selection pane="bottomLeft" activeCell="A41" sqref="A41"/>
      <selection pane="bottomRight"/>
    </sheetView>
  </sheetViews>
  <sheetFormatPr defaultColWidth="10.5703125" defaultRowHeight="14.25" customHeight="1"/>
  <cols>
    <col min="1" max="1" width="10.5703125" style="43" hidden="1"/>
    <col min="2" max="2" width="11" style="43" hidden="1" customWidth="1"/>
    <col min="3" max="3" width="10.5703125" style="43" hidden="1"/>
    <col min="4" max="4" width="11.85546875" style="43" hidden="1" customWidth="1"/>
    <col min="5" max="5" width="10" style="43" hidden="1" customWidth="1"/>
    <col min="6" max="6" width="8.7109375" style="43" hidden="1" customWidth="1"/>
    <col min="7" max="7" width="7.5703125" style="43" hidden="1" customWidth="1"/>
    <col min="8" max="8" width="11.42578125" style="43" hidden="1" customWidth="1"/>
    <col min="9" max="9" width="14.140625" style="43" hidden="1" customWidth="1"/>
    <col min="10" max="10" width="9.85546875" style="43" hidden="1" customWidth="1"/>
    <col min="11" max="11" width="14.7109375" style="43" hidden="1" customWidth="1"/>
    <col min="12" max="12" width="19.140625" style="43" hidden="1" customWidth="1"/>
    <col min="13" max="14" width="12.28515625" style="167" hidden="1" customWidth="1"/>
    <col min="15" max="15" width="23.42578125" style="167" hidden="1" customWidth="1"/>
    <col min="16" max="16" width="3" style="23" customWidth="1"/>
    <col min="17" max="18" width="3" style="20" customWidth="1"/>
    <col min="19" max="19" width="12" style="4" customWidth="1"/>
    <col min="20" max="20" width="35" style="4" customWidth="1"/>
    <col min="21" max="21" width="0.140625" style="4" customWidth="1"/>
    <col min="22" max="24" width="24.7109375" style="4" hidden="1" customWidth="1"/>
    <col min="25" max="25" width="11.7109375" style="4" hidden="1" customWidth="1"/>
    <col min="26" max="26" width="3.7109375" style="4" hidden="1" customWidth="1"/>
    <col min="27" max="27" width="11.7109375" style="4" hidden="1" customWidth="1"/>
    <col min="28" max="28" width="8.5703125" style="4" hidden="1" customWidth="1"/>
    <col min="29" max="29" width="24.7109375" style="4" customWidth="1"/>
    <col min="30" max="31" width="24" style="4" customWidth="1"/>
    <col min="32" max="32" width="11" style="4" customWidth="1"/>
    <col min="33" max="33" width="3.7109375" style="4" customWidth="1"/>
    <col min="34" max="34" width="11" style="4" customWidth="1"/>
    <col min="35" max="35" width="8.5703125" style="4" hidden="1" customWidth="1"/>
    <col min="36" max="36" width="4" style="4" customWidth="1"/>
    <col min="37" max="37" width="115" style="4" customWidth="1"/>
    <col min="38" max="42" width="10" style="46" customWidth="1"/>
    <col min="43" max="43" width="10.5703125" style="4" hidden="1"/>
  </cols>
  <sheetData>
    <row r="1" spans="5:43" ht="22.5" hidden="1" customHeight="1">
      <c r="AQ1" s="4" t="s">
        <v>14</v>
      </c>
    </row>
    <row r="2" spans="5:43" ht="23.25" hidden="1" customHeight="1">
      <c r="E2" s="745">
        <v>1</v>
      </c>
      <c r="M2" s="43"/>
      <c r="N2" s="43"/>
      <c r="O2" s="43"/>
      <c r="Q2" s="4"/>
      <c r="R2" s="119"/>
      <c r="S2" s="24" t="e">
        <f>INDEX(PT_DIFFERENTIATION_NUM_NTAR,MATCH(A2,PT_DIFFERENTIATION_NTAR_ID,0))</f>
        <v>#N/A</v>
      </c>
      <c r="T2" s="29" t="s">
        <v>128</v>
      </c>
      <c r="U2" s="29"/>
      <c r="V2" s="742"/>
      <c r="W2" s="743"/>
      <c r="X2" s="743"/>
      <c r="Y2" s="743"/>
      <c r="Z2" s="743"/>
      <c r="AA2" s="743"/>
      <c r="AB2" s="744"/>
      <c r="AC2" s="742" t="e">
        <f>INDEX(PT_DIFFERENTIATION_NTAR,MATCH(A2,PT_DIFFERENTIATION_NTAR_ID,0))</f>
        <v>#N/A</v>
      </c>
      <c r="AD2" s="743"/>
      <c r="AE2" s="743"/>
      <c r="AF2" s="743"/>
      <c r="AG2" s="743"/>
      <c r="AH2" s="743"/>
      <c r="AI2" s="743"/>
      <c r="AJ2" s="744"/>
      <c r="AK2" s="4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N2" s="46" t="str">
        <f t="shared" ref="AN2:AN13" si="0">IF(T2="","",T2)</f>
        <v>Наименование тарифа</v>
      </c>
      <c r="AQ2" s="4">
        <v>0</v>
      </c>
    </row>
    <row r="3" spans="5:43" ht="23.25" hidden="1" customHeight="1">
      <c r="E3" s="747"/>
      <c r="F3" s="745">
        <v>1</v>
      </c>
      <c r="M3" s="43"/>
      <c r="N3" s="43"/>
      <c r="O3" s="43"/>
      <c r="P3" s="4"/>
      <c r="Q3" s="118"/>
      <c r="R3" s="119"/>
      <c r="S3" s="24" t="e">
        <f>INDEX(PT_DIFFERENTIATION_NUM_TER,MATCH(B3,PT_DIFFERENTIATION_TER_ID,0))</f>
        <v>#N/A</v>
      </c>
      <c r="T3" s="24" t="s">
        <v>400</v>
      </c>
      <c r="U3" s="29"/>
      <c r="V3" s="742"/>
      <c r="W3" s="743"/>
      <c r="X3" s="743"/>
      <c r="Y3" s="743"/>
      <c r="Z3" s="743"/>
      <c r="AA3" s="743"/>
      <c r="AB3" s="744"/>
      <c r="AC3" s="742" t="e">
        <f>INDEX(PT_DIFFERENTIATION_TER,MATCH(B3,PT_DIFFERENTIATION_TER_ID,0))</f>
        <v>#N/A</v>
      </c>
      <c r="AD3" s="743"/>
      <c r="AE3" s="743"/>
      <c r="AF3" s="743"/>
      <c r="AG3" s="743"/>
      <c r="AH3" s="743"/>
      <c r="AI3" s="743"/>
      <c r="AJ3" s="744"/>
      <c r="AK3" s="428" t="s">
        <v>401</v>
      </c>
      <c r="AN3" s="46" t="str">
        <f t="shared" si="0"/>
        <v>Территория действия тарифа</v>
      </c>
      <c r="AQ3" s="4">
        <v>0</v>
      </c>
    </row>
    <row r="4" spans="5:43" ht="23.25" hidden="1" customHeight="1">
      <c r="E4" s="747"/>
      <c r="F4" s="747"/>
      <c r="G4" s="745">
        <v>1</v>
      </c>
      <c r="M4" s="43"/>
      <c r="N4" s="43"/>
      <c r="O4" s="43"/>
      <c r="P4" s="16"/>
      <c r="Q4" s="118"/>
      <c r="R4" s="119"/>
      <c r="S4" s="24" t="e">
        <f>INDEX(PT_DIFFERENTIATION_NUM_CS,MATCH(C4,PT_DIFFERENTIATION_CS_ID,0))</f>
        <v>#N/A</v>
      </c>
      <c r="T4" s="24" t="s">
        <v>484</v>
      </c>
      <c r="U4" s="29"/>
      <c r="V4" s="742"/>
      <c r="W4" s="743"/>
      <c r="X4" s="743"/>
      <c r="Y4" s="743"/>
      <c r="Z4" s="743"/>
      <c r="AA4" s="743"/>
      <c r="AB4" s="744"/>
      <c r="AC4" s="742" t="e">
        <f>INDEX(PT_DIFFERENTIATION_CS,MATCH(C4,PT_DIFFERENTIATION_CS_ID,0))</f>
        <v>#N/A</v>
      </c>
      <c r="AD4" s="743"/>
      <c r="AE4" s="743"/>
      <c r="AF4" s="743"/>
      <c r="AG4" s="743"/>
      <c r="AH4" s="743"/>
      <c r="AI4" s="743"/>
      <c r="AJ4" s="744"/>
      <c r="AK4" s="428" t="s">
        <v>485</v>
      </c>
      <c r="AN4" s="46" t="str">
        <f t="shared" si="0"/>
        <v>Наименование централизованной системы холодного водоснабжения</v>
      </c>
      <c r="AQ4" s="4">
        <v>0</v>
      </c>
    </row>
    <row r="5" spans="5:43" ht="23.25" hidden="1" customHeight="1">
      <c r="E5" s="747"/>
      <c r="F5" s="747"/>
      <c r="G5" s="747"/>
      <c r="H5" s="747"/>
      <c r="I5" s="745" t="e">
        <f>S4&amp;".1"</f>
        <v>#N/A</v>
      </c>
      <c r="P5" s="748">
        <v>1</v>
      </c>
      <c r="Q5" s="46"/>
      <c r="R5" s="120"/>
      <c r="S5" s="24" t="e">
        <f>$I5</f>
        <v>#N/A</v>
      </c>
      <c r="T5" s="24" t="s">
        <v>486</v>
      </c>
      <c r="U5" s="29"/>
      <c r="V5" s="793"/>
      <c r="W5" s="794"/>
      <c r="X5" s="794"/>
      <c r="Y5" s="794"/>
      <c r="Z5" s="794"/>
      <c r="AA5" s="794"/>
      <c r="AB5" s="795"/>
      <c r="AC5" s="793"/>
      <c r="AD5" s="794"/>
      <c r="AE5" s="794"/>
      <c r="AF5" s="794"/>
      <c r="AG5" s="794"/>
      <c r="AH5" s="794"/>
      <c r="AI5" s="794"/>
      <c r="AJ5" s="795"/>
      <c r="AK5" s="428" t="s">
        <v>487</v>
      </c>
      <c r="AN5" s="46" t="str">
        <f t="shared" si="0"/>
        <v>Наименование признака дифференциации</v>
      </c>
      <c r="AQ5" s="4">
        <v>0</v>
      </c>
    </row>
    <row r="6" spans="5:43" ht="23.25" hidden="1" customHeight="1">
      <c r="E6" s="747"/>
      <c r="F6" s="747"/>
      <c r="G6" s="747"/>
      <c r="H6" s="747"/>
      <c r="I6" s="747"/>
      <c r="J6" s="745" t="e">
        <f>I5&amp;".1"</f>
        <v>#N/A</v>
      </c>
      <c r="L6" s="43" t="s">
        <v>409</v>
      </c>
      <c r="P6" s="748"/>
      <c r="Q6" s="748">
        <v>1</v>
      </c>
      <c r="R6" s="120"/>
      <c r="S6" s="24" t="e">
        <f>$J6</f>
        <v>#N/A</v>
      </c>
      <c r="T6" s="24" t="s">
        <v>410</v>
      </c>
      <c r="U6" s="29"/>
      <c r="V6" s="737"/>
      <c r="W6" s="738"/>
      <c r="X6" s="738"/>
      <c r="Y6" s="738"/>
      <c r="Z6" s="738"/>
      <c r="AA6" s="738"/>
      <c r="AB6" s="739"/>
      <c r="AC6" s="737"/>
      <c r="AD6" s="738"/>
      <c r="AE6" s="738"/>
      <c r="AF6" s="738"/>
      <c r="AG6" s="738"/>
      <c r="AH6" s="738"/>
      <c r="AI6" s="738"/>
      <c r="AJ6" s="739"/>
      <c r="AK6" s="445" t="s">
        <v>488</v>
      </c>
      <c r="AN6" s="46" t="str">
        <f t="shared" si="0"/>
        <v>Группа потребителей</v>
      </c>
      <c r="AQ6" s="4">
        <v>0</v>
      </c>
    </row>
    <row r="7" spans="5:43" ht="23.25" hidden="1" customHeight="1">
      <c r="E7" s="747"/>
      <c r="F7" s="747"/>
      <c r="G7" s="747"/>
      <c r="H7" s="747"/>
      <c r="I7" s="747"/>
      <c r="J7" s="747"/>
      <c r="K7" s="745" t="e">
        <f>J6&amp;".1"</f>
        <v>#N/A</v>
      </c>
      <c r="P7" s="748"/>
      <c r="Q7" s="748"/>
      <c r="R7" s="120">
        <v>1</v>
      </c>
      <c r="S7" s="24" t="e">
        <f>$K7</f>
        <v>#N/A</v>
      </c>
      <c r="T7" s="25"/>
      <c r="U7" s="29"/>
      <c r="V7" s="168"/>
      <c r="W7" s="168"/>
      <c r="X7" s="427"/>
      <c r="Y7" s="749"/>
      <c r="Z7" s="688" t="s">
        <v>66</v>
      </c>
      <c r="AA7" s="749"/>
      <c r="AB7" s="688" t="s">
        <v>66</v>
      </c>
      <c r="AC7" s="168"/>
      <c r="AD7" s="168"/>
      <c r="AE7" s="427"/>
      <c r="AF7" s="749"/>
      <c r="AG7" s="688" t="s">
        <v>66</v>
      </c>
      <c r="AH7" s="750"/>
      <c r="AI7" s="688" t="s">
        <v>66</v>
      </c>
      <c r="AJ7" s="474"/>
      <c r="AK7" s="79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6" t="e">
        <f ca="1">STRCHECKDATE(V8:AJ8)</f>
        <v>#NAME?</v>
      </c>
      <c r="AN7" s="46" t="str">
        <f t="shared" si="0"/>
        <v/>
      </c>
      <c r="AQ7" s="4">
        <v>0</v>
      </c>
    </row>
    <row r="8" spans="5:43" ht="14.25" hidden="1" customHeight="1">
      <c r="E8" s="747"/>
      <c r="F8" s="747"/>
      <c r="G8" s="747"/>
      <c r="H8" s="747"/>
      <c r="I8" s="747"/>
      <c r="J8" s="747"/>
      <c r="K8" s="745"/>
      <c r="P8" s="748"/>
      <c r="Q8" s="748"/>
      <c r="R8" s="120"/>
      <c r="S8" s="31"/>
      <c r="T8" s="29"/>
      <c r="U8" s="29"/>
      <c r="V8" s="110"/>
      <c r="W8" s="110"/>
      <c r="X8" s="111" t="str">
        <f>Y7&amp;"-"&amp;AA7</f>
        <v>-</v>
      </c>
      <c r="Y8" s="707"/>
      <c r="Z8" s="688"/>
      <c r="AA8" s="707"/>
      <c r="AB8" s="688"/>
      <c r="AC8" s="110"/>
      <c r="AD8" s="110"/>
      <c r="AE8" s="111" t="str">
        <f>AF7&amp;"-"&amp;AH7</f>
        <v>-</v>
      </c>
      <c r="AF8" s="707"/>
      <c r="AG8" s="688"/>
      <c r="AH8" s="751"/>
      <c r="AI8" s="688"/>
      <c r="AJ8" s="216"/>
      <c r="AK8" s="796"/>
      <c r="AN8" s="46" t="str">
        <f t="shared" si="0"/>
        <v/>
      </c>
      <c r="AQ8" s="4">
        <v>0</v>
      </c>
    </row>
    <row r="9" spans="5:43" ht="21" hidden="1" customHeight="1">
      <c r="E9" s="747"/>
      <c r="F9" s="747"/>
      <c r="G9" s="747"/>
      <c r="H9" s="747"/>
      <c r="I9" s="747"/>
      <c r="J9" s="745"/>
      <c r="P9" s="748"/>
      <c r="Q9" s="748"/>
      <c r="R9" s="120"/>
      <c r="S9" s="434"/>
      <c r="T9" s="37" t="s">
        <v>489</v>
      </c>
      <c r="U9" s="58"/>
      <c r="V9" s="58"/>
      <c r="W9" s="58"/>
      <c r="X9" s="58"/>
      <c r="Y9" s="58"/>
      <c r="Z9" s="58"/>
      <c r="AA9" s="58"/>
      <c r="AB9" s="58"/>
      <c r="AC9" s="58"/>
      <c r="AD9" s="58"/>
      <c r="AE9" s="58"/>
      <c r="AF9" s="58"/>
      <c r="AG9" s="58"/>
      <c r="AH9" s="58"/>
      <c r="AI9" s="58"/>
      <c r="AJ9" s="58"/>
      <c r="AK9" s="428" t="s">
        <v>490</v>
      </c>
      <c r="AN9" s="46" t="str">
        <f t="shared" si="0"/>
        <v>Добавить значение признака дифференциации</v>
      </c>
      <c r="AQ9" s="4">
        <v>0</v>
      </c>
    </row>
    <row r="10" spans="5:43" ht="21" hidden="1" customHeight="1">
      <c r="E10" s="747"/>
      <c r="F10" s="747"/>
      <c r="G10" s="747"/>
      <c r="H10" s="747"/>
      <c r="I10" s="745"/>
      <c r="P10" s="748"/>
      <c r="Q10" s="46"/>
      <c r="R10" s="120"/>
      <c r="S10" s="434"/>
      <c r="T10" s="37" t="s">
        <v>415</v>
      </c>
      <c r="U10" s="58"/>
      <c r="V10" s="58"/>
      <c r="W10" s="58"/>
      <c r="X10" s="58"/>
      <c r="Y10" s="58"/>
      <c r="Z10" s="58"/>
      <c r="AA10" s="58"/>
      <c r="AB10" s="54"/>
      <c r="AC10" s="58"/>
      <c r="AD10" s="58"/>
      <c r="AE10" s="58"/>
      <c r="AF10" s="58"/>
      <c r="AG10" s="58"/>
      <c r="AH10" s="58"/>
      <c r="AI10" s="54"/>
      <c r="AJ10" s="58"/>
      <c r="AK10" s="475"/>
      <c r="AN10" s="46" t="str">
        <f t="shared" si="0"/>
        <v>Добавить группу потребителей</v>
      </c>
      <c r="AQ10" s="4">
        <v>0</v>
      </c>
    </row>
    <row r="11" spans="5:43" ht="14.25" hidden="1" customHeight="1">
      <c r="E11" s="747"/>
      <c r="F11" s="747"/>
      <c r="G11" s="747"/>
      <c r="H11" s="745"/>
      <c r="M11" s="43"/>
      <c r="N11" s="43"/>
      <c r="O11" s="43"/>
      <c r="P11" s="4"/>
      <c r="R11" s="119"/>
      <c r="S11" s="434"/>
      <c r="T11" s="37" t="s">
        <v>491</v>
      </c>
      <c r="U11" s="58"/>
      <c r="V11" s="58"/>
      <c r="W11" s="58"/>
      <c r="X11" s="58"/>
      <c r="Y11" s="58"/>
      <c r="Z11" s="58"/>
      <c r="AA11" s="58"/>
      <c r="AB11" s="54"/>
      <c r="AC11" s="58"/>
      <c r="AD11" s="58"/>
      <c r="AE11" s="58"/>
      <c r="AF11" s="58"/>
      <c r="AG11" s="58"/>
      <c r="AH11" s="58"/>
      <c r="AI11" s="54"/>
      <c r="AJ11" s="58"/>
      <c r="AK11" s="102"/>
      <c r="AN11" s="46" t="str">
        <f t="shared" si="0"/>
        <v>Добавить наименование признака дифференциации</v>
      </c>
      <c r="AQ11" s="4">
        <v>0</v>
      </c>
    </row>
    <row r="12" spans="5:43" s="46" customFormat="1" ht="14.25" hidden="1" customHeight="1">
      <c r="E12" s="747"/>
      <c r="F12" s="745"/>
      <c r="M12" s="160"/>
      <c r="N12" s="160"/>
      <c r="Q12" s="446"/>
      <c r="S12" s="449"/>
      <c r="T12" s="160" t="s">
        <v>418</v>
      </c>
      <c r="U12" s="160"/>
      <c r="V12" s="160"/>
      <c r="W12" s="160"/>
      <c r="X12" s="160"/>
      <c r="Y12" s="160"/>
      <c r="Z12" s="160"/>
      <c r="AA12" s="160"/>
      <c r="AB12" s="160"/>
      <c r="AC12" s="160"/>
      <c r="AD12" s="160"/>
      <c r="AE12" s="160"/>
      <c r="AF12" s="160"/>
      <c r="AG12" s="160"/>
      <c r="AH12" s="160"/>
      <c r="AI12" s="160"/>
      <c r="AJ12" s="160"/>
      <c r="AK12" s="160"/>
      <c r="AN12" s="46" t="str">
        <f t="shared" si="0"/>
        <v>Добавить централизованную систему для дифференциации</v>
      </c>
      <c r="AQ12" s="46">
        <v>0</v>
      </c>
    </row>
    <row r="13" spans="5:43" s="46" customFormat="1" ht="14.25" hidden="1" customHeight="1">
      <c r="E13" s="745"/>
      <c r="M13" s="160"/>
      <c r="N13" s="160"/>
      <c r="Q13" s="446"/>
      <c r="S13" s="449"/>
      <c r="T13" s="160" t="s">
        <v>419</v>
      </c>
      <c r="U13" s="160"/>
      <c r="V13" s="160"/>
      <c r="W13" s="160"/>
      <c r="X13" s="160"/>
      <c r="Y13" s="160"/>
      <c r="Z13" s="160"/>
      <c r="AA13" s="160"/>
      <c r="AB13" s="160"/>
      <c r="AC13" s="160"/>
      <c r="AD13" s="160"/>
      <c r="AE13" s="160"/>
      <c r="AF13" s="160"/>
      <c r="AG13" s="160"/>
      <c r="AH13" s="160"/>
      <c r="AI13" s="160"/>
      <c r="AJ13" s="160"/>
      <c r="AK13" s="160"/>
      <c r="AN13" s="46" t="str">
        <f t="shared" si="0"/>
        <v>Добавить территорию для дифференциации</v>
      </c>
      <c r="AQ13" s="46">
        <v>0</v>
      </c>
    </row>
    <row r="14" spans="5:43" ht="14.25" hidden="1" customHeight="1">
      <c r="AQ14" s="4">
        <v>0</v>
      </c>
    </row>
    <row r="15" spans="5:43" ht="14.25" hidden="1" customHeight="1">
      <c r="AC15" s="205"/>
      <c r="AD15" s="205"/>
      <c r="AE15" s="451"/>
      <c r="AF15" s="746"/>
      <c r="AG15" s="745" t="s">
        <v>66</v>
      </c>
      <c r="AH15" s="746"/>
      <c r="AI15" s="745" t="s">
        <v>66</v>
      </c>
      <c r="AQ15" s="4">
        <v>0</v>
      </c>
    </row>
    <row r="16" spans="5:43" ht="14.25" hidden="1" customHeight="1">
      <c r="AC16" s="205"/>
      <c r="AD16" s="205"/>
      <c r="AE16" s="111" t="str">
        <f>AF15&amp;"-"&amp;AH15</f>
        <v>-</v>
      </c>
      <c r="AF16" s="745"/>
      <c r="AG16" s="745"/>
      <c r="AH16" s="745"/>
      <c r="AI16" s="745"/>
      <c r="AQ16" s="4">
        <v>0</v>
      </c>
    </row>
    <row r="17" spans="1:43" ht="14.25" hidden="1" customHeight="1">
      <c r="AQ17" s="4">
        <v>0</v>
      </c>
    </row>
    <row r="18" spans="1:43" s="43" customFormat="1" ht="22.5" hidden="1" customHeight="1">
      <c r="M18" s="167"/>
      <c r="N18" s="167"/>
      <c r="O18" s="261" t="s">
        <v>420</v>
      </c>
      <c r="P18" s="167"/>
      <c r="Q18" s="452"/>
      <c r="R18" s="452"/>
      <c r="Y18" s="261"/>
      <c r="AA18" s="261"/>
      <c r="AF18" s="261"/>
      <c r="AH18" s="261"/>
      <c r="AL18" s="46"/>
      <c r="AM18" s="46"/>
      <c r="AN18" s="46"/>
      <c r="AO18" s="46"/>
      <c r="AP18" s="46"/>
      <c r="AQ18" s="43">
        <v>0</v>
      </c>
    </row>
    <row r="19" spans="1:43" s="43" customFormat="1" ht="14.25" hidden="1" customHeight="1">
      <c r="M19" s="167"/>
      <c r="N19" s="167"/>
      <c r="O19" s="167"/>
      <c r="P19" s="167"/>
      <c r="Q19" s="452"/>
      <c r="R19" s="452"/>
      <c r="AL19" s="46"/>
      <c r="AM19" s="46"/>
      <c r="AN19" s="46"/>
      <c r="AO19" s="46"/>
      <c r="AP19" s="46"/>
      <c r="AQ19" s="43">
        <v>0</v>
      </c>
    </row>
    <row r="20" spans="1:43" s="43" customFormat="1" ht="12" hidden="1" customHeight="1">
      <c r="M20" s="167"/>
      <c r="N20" s="167"/>
      <c r="O20" s="43" t="s">
        <v>421</v>
      </c>
      <c r="P20" s="167"/>
      <c r="Q20" s="476"/>
      <c r="R20" s="476"/>
      <c r="T20" s="43" t="s">
        <v>422</v>
      </c>
      <c r="Z20" s="43" t="s">
        <v>423</v>
      </c>
      <c r="AB20" s="43" t="s">
        <v>424</v>
      </c>
      <c r="AC20" s="43" t="s">
        <v>422</v>
      </c>
      <c r="AG20" s="43" t="s">
        <v>425</v>
      </c>
      <c r="AI20" s="43" t="s">
        <v>424</v>
      </c>
      <c r="AQ20" s="43">
        <v>0</v>
      </c>
    </row>
    <row r="21" spans="1:43" ht="14.25" hidden="1" customHeight="1">
      <c r="O21" s="43"/>
      <c r="AQ21" s="4">
        <v>0</v>
      </c>
    </row>
    <row r="22" spans="1:43" ht="14.25" hidden="1" customHeight="1">
      <c r="O22" s="43"/>
      <c r="AQ22" s="4">
        <v>0</v>
      </c>
    </row>
    <row r="23" spans="1:43" ht="14.65" customHeight="1">
      <c r="Q23" s="19"/>
      <c r="R23" s="19"/>
      <c r="S23" s="6"/>
      <c r="T23" s="6"/>
      <c r="U23" s="6"/>
      <c r="AQ23" s="4">
        <v>14</v>
      </c>
    </row>
    <row r="24" spans="1:43" ht="14.65" customHeight="1">
      <c r="Q24" s="19"/>
      <c r="R24" s="19"/>
      <c r="S24" s="697"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697"/>
      <c r="U24" s="697"/>
      <c r="V24" s="697"/>
      <c r="W24" s="697"/>
      <c r="X24" s="697"/>
      <c r="Y24" s="697"/>
      <c r="Z24" s="697"/>
      <c r="AA24" s="697"/>
      <c r="AB24" s="697"/>
      <c r="AC24" s="697"/>
      <c r="AD24" s="697"/>
      <c r="AE24" s="697"/>
      <c r="AF24" s="697"/>
      <c r="AG24" s="697"/>
      <c r="AH24" s="697"/>
      <c r="AI24" s="40"/>
      <c r="AQ24" s="4">
        <v>14</v>
      </c>
    </row>
    <row r="25" spans="1:43" ht="14.65" customHeight="1">
      <c r="Q25" s="19"/>
      <c r="R25" s="19"/>
      <c r="S25" s="712" t="str">
        <f>IF(org=0,"Не определено",org)</f>
        <v>ООО "Восточная Тепловая компания"</v>
      </c>
      <c r="T25" s="712"/>
      <c r="U25" s="712"/>
      <c r="V25" s="712"/>
      <c r="W25" s="712"/>
      <c r="X25" s="712"/>
      <c r="Y25" s="712"/>
      <c r="Z25" s="712"/>
      <c r="AA25" s="712"/>
      <c r="AB25" s="712"/>
      <c r="AC25" s="712"/>
      <c r="AD25" s="712"/>
      <c r="AE25" s="712"/>
      <c r="AF25" s="712"/>
      <c r="AG25" s="712"/>
      <c r="AH25" s="712"/>
      <c r="AI25" s="40"/>
      <c r="AQ25" s="4">
        <v>14</v>
      </c>
    </row>
    <row r="26" spans="1:43" ht="14.25" hidden="1" customHeight="1">
      <c r="Q26" s="19"/>
      <c r="R26" s="19"/>
      <c r="S26" s="6"/>
      <c r="T26" s="6"/>
      <c r="U26" s="6"/>
      <c r="V26" s="109"/>
      <c r="W26" s="109"/>
      <c r="X26" s="109"/>
      <c r="Y26" s="109"/>
      <c r="Z26" s="109"/>
      <c r="AA26" s="109"/>
      <c r="AB26" s="109"/>
      <c r="AC26" s="109"/>
      <c r="AD26" s="109"/>
      <c r="AE26" s="109"/>
      <c r="AF26" s="109"/>
      <c r="AG26" s="109"/>
      <c r="AH26" s="109"/>
      <c r="AI26" s="109"/>
      <c r="AQ26" s="4">
        <v>0</v>
      </c>
    </row>
    <row r="27" spans="1:43" s="22" customFormat="1" ht="25.5" hidden="1" customHeight="1">
      <c r="A27" s="43"/>
      <c r="B27" s="43"/>
      <c r="C27" s="43"/>
      <c r="D27" s="43"/>
      <c r="E27" s="43"/>
      <c r="F27" s="43"/>
      <c r="G27" s="43"/>
      <c r="H27" s="43"/>
      <c r="I27" s="43"/>
      <c r="J27" s="43"/>
      <c r="K27" s="43"/>
      <c r="L27" s="43"/>
      <c r="M27" s="43"/>
      <c r="N27" s="43"/>
      <c r="O27" s="43"/>
      <c r="S27" s="721" t="s">
        <v>42</v>
      </c>
      <c r="T27" s="721"/>
      <c r="U27" s="453"/>
      <c r="V27" s="741" t="str">
        <f>IF(TITLE_NAME_OR_PR_CHANGE="",IF(TITLE_NAME_OR_PR="","",TITLE_NAME_OR_PR),TITLE_NAME_OR_PR_CHANGE)</f>
        <v/>
      </c>
      <c r="W27" s="741"/>
      <c r="X27" s="741"/>
      <c r="Y27" s="741"/>
      <c r="Z27" s="741"/>
      <c r="AA27" s="741"/>
      <c r="AB27" s="4"/>
      <c r="AC27" s="741" t="str">
        <f>IF(TITLE_NAME_OR_PR_CHANGE="",IF(TITLE_NAME_OR_PR="","",TITLE_NAME_OR_PR),TITLE_NAME_OR_PR_CHANGE)</f>
        <v/>
      </c>
      <c r="AD27" s="741"/>
      <c r="AE27" s="741"/>
      <c r="AF27" s="741"/>
      <c r="AG27" s="741"/>
      <c r="AH27" s="741"/>
      <c r="AI27" s="4"/>
      <c r="AJ27" s="4"/>
      <c r="AK27" s="96"/>
      <c r="AL27" s="46"/>
      <c r="AM27" s="46"/>
      <c r="AN27" s="46"/>
      <c r="AO27" s="46"/>
      <c r="AP27" s="46"/>
      <c r="AQ27" s="22">
        <v>0</v>
      </c>
    </row>
    <row r="28" spans="1:43" s="22" customFormat="1" ht="18.75" hidden="1" customHeight="1">
      <c r="A28" s="43"/>
      <c r="B28" s="43"/>
      <c r="C28" s="43"/>
      <c r="D28" s="43"/>
      <c r="E28" s="43"/>
      <c r="F28" s="43"/>
      <c r="G28" s="43"/>
      <c r="H28" s="43"/>
      <c r="I28" s="43"/>
      <c r="J28" s="43"/>
      <c r="K28" s="43"/>
      <c r="L28" s="43"/>
      <c r="M28" s="43"/>
      <c r="N28" s="43"/>
      <c r="O28" s="43"/>
      <c r="S28" s="721" t="s">
        <v>426</v>
      </c>
      <c r="T28" s="721"/>
      <c r="U28" s="453"/>
      <c r="V28" s="740" t="str">
        <f>IF(TITLE_DATE_PR_CHANGE="",IF(TITLE_DATE_PR="","",TITLE_DATE_PR),TITLE_DATE_PR_CHANGE)</f>
        <v/>
      </c>
      <c r="W28" s="740"/>
      <c r="X28" s="740"/>
      <c r="Y28" s="740"/>
      <c r="Z28" s="740"/>
      <c r="AA28" s="740"/>
      <c r="AB28" s="4"/>
      <c r="AC28" s="740" t="str">
        <f>IF(TITLE_DATE_PR_CHANGE="",IF(TITLE_DATE_PR="","",TITLE_DATE_PR),TITLE_DATE_PR_CHANGE)</f>
        <v/>
      </c>
      <c r="AD28" s="740"/>
      <c r="AE28" s="740"/>
      <c r="AF28" s="740"/>
      <c r="AG28" s="740"/>
      <c r="AH28" s="740"/>
      <c r="AI28" s="4"/>
      <c r="AJ28" s="4"/>
      <c r="AK28" s="96"/>
      <c r="AL28" s="46"/>
      <c r="AM28" s="46"/>
      <c r="AN28" s="46"/>
      <c r="AO28" s="46"/>
      <c r="AP28" s="46"/>
      <c r="AQ28" s="22">
        <v>0</v>
      </c>
    </row>
    <row r="29" spans="1:43" s="22" customFormat="1" ht="18.75" hidden="1" customHeight="1">
      <c r="A29" s="43"/>
      <c r="B29" s="43"/>
      <c r="C29" s="43"/>
      <c r="D29" s="43"/>
      <c r="E29" s="43"/>
      <c r="F29" s="43"/>
      <c r="G29" s="43"/>
      <c r="H29" s="43"/>
      <c r="I29" s="43"/>
      <c r="J29" s="43"/>
      <c r="K29" s="43"/>
      <c r="L29" s="43"/>
      <c r="M29" s="43"/>
      <c r="N29" s="43"/>
      <c r="O29" s="43"/>
      <c r="S29" s="721" t="s">
        <v>427</v>
      </c>
      <c r="T29" s="721"/>
      <c r="U29" s="453"/>
      <c r="V29" s="741" t="str">
        <f>IF(TITLE_NUMBER_PR_CHANGE="",IF(TITLE_NUMBER_PR="","",TITLE_NUMBER_PR),TITLE_NUMBER_PR_CHANGE)</f>
        <v/>
      </c>
      <c r="W29" s="741"/>
      <c r="X29" s="741"/>
      <c r="Y29" s="741"/>
      <c r="Z29" s="741"/>
      <c r="AA29" s="741"/>
      <c r="AB29" s="4"/>
      <c r="AC29" s="741" t="str">
        <f>IF(TITLE_NUMBER_PR_CHANGE="",IF(TITLE_NUMBER_PR="","",TITLE_NUMBER_PR),TITLE_NUMBER_PR_CHANGE)</f>
        <v/>
      </c>
      <c r="AD29" s="741"/>
      <c r="AE29" s="741"/>
      <c r="AF29" s="741"/>
      <c r="AG29" s="741"/>
      <c r="AH29" s="741"/>
      <c r="AI29" s="4"/>
      <c r="AJ29" s="4"/>
      <c r="AK29" s="96"/>
      <c r="AL29" s="46"/>
      <c r="AM29" s="46"/>
      <c r="AN29" s="46"/>
      <c r="AO29" s="46"/>
      <c r="AP29" s="46"/>
      <c r="AQ29" s="22">
        <v>0</v>
      </c>
    </row>
    <row r="30" spans="1:43" s="22" customFormat="1" ht="18.75" hidden="1" customHeight="1">
      <c r="A30" s="43"/>
      <c r="B30" s="43"/>
      <c r="C30" s="43"/>
      <c r="D30" s="43"/>
      <c r="E30" s="43"/>
      <c r="F30" s="43"/>
      <c r="G30" s="43"/>
      <c r="H30" s="43"/>
      <c r="I30" s="43"/>
      <c r="J30" s="43"/>
      <c r="K30" s="43"/>
      <c r="L30" s="43"/>
      <c r="M30" s="43"/>
      <c r="N30" s="43"/>
      <c r="O30" s="43"/>
      <c r="S30" s="721" t="s">
        <v>43</v>
      </c>
      <c r="T30" s="721"/>
      <c r="U30" s="453"/>
      <c r="V30" s="741" t="str">
        <f>IF(TITLE_IST_PUB_CHANGE="",IF(TITLE_IST_PUB="","",TITLE_IST_PUB),TITLE_IST_PUB_CHANGE)</f>
        <v/>
      </c>
      <c r="W30" s="741"/>
      <c r="X30" s="741"/>
      <c r="Y30" s="741"/>
      <c r="Z30" s="741"/>
      <c r="AA30" s="741"/>
      <c r="AB30" s="4"/>
      <c r="AC30" s="741" t="str">
        <f>IF(TITLE_IST_PUB_CHANGE="",IF(TITLE_IST_PUB="","",TITLE_IST_PUB),TITLE_IST_PUB_CHANGE)</f>
        <v/>
      </c>
      <c r="AD30" s="741"/>
      <c r="AE30" s="741"/>
      <c r="AF30" s="741"/>
      <c r="AG30" s="741"/>
      <c r="AH30" s="741"/>
      <c r="AI30" s="4"/>
      <c r="AJ30" s="4"/>
      <c r="AK30" s="96"/>
      <c r="AL30" s="46"/>
      <c r="AM30" s="46"/>
      <c r="AN30" s="46"/>
      <c r="AO30" s="46"/>
      <c r="AP30" s="46"/>
      <c r="AQ30" s="22">
        <v>0</v>
      </c>
    </row>
    <row r="31" spans="1:43" ht="14.25" hidden="1" customHeight="1">
      <c r="Q31" s="19"/>
      <c r="R31" s="19"/>
      <c r="S31" s="6"/>
      <c r="T31" s="6"/>
      <c r="U31" s="6"/>
      <c r="V31" s="109"/>
      <c r="W31" s="109"/>
      <c r="X31" s="109"/>
      <c r="Y31" s="109"/>
      <c r="Z31" s="109"/>
      <c r="AA31" s="109"/>
      <c r="AB31" s="109"/>
      <c r="AC31" s="109"/>
      <c r="AD31" s="109"/>
      <c r="AE31" s="109"/>
      <c r="AF31" s="109"/>
      <c r="AG31" s="109"/>
      <c r="AH31" s="109"/>
      <c r="AI31" s="109"/>
      <c r="AQ31" s="4">
        <v>0</v>
      </c>
    </row>
    <row r="32" spans="1:43" s="22" customFormat="1" ht="18.75" hidden="1" customHeight="1">
      <c r="A32" s="43"/>
      <c r="B32" s="43"/>
      <c r="C32" s="43"/>
      <c r="D32" s="43"/>
      <c r="E32" s="43"/>
      <c r="F32" s="43"/>
      <c r="G32" s="43"/>
      <c r="H32" s="43"/>
      <c r="I32" s="43"/>
      <c r="J32" s="43"/>
      <c r="K32" s="43"/>
      <c r="L32" s="43"/>
      <c r="M32" s="43"/>
      <c r="N32" s="43"/>
      <c r="O32" s="43"/>
      <c r="S32" s="721" t="s">
        <v>428</v>
      </c>
      <c r="T32" s="721"/>
      <c r="U32" s="453"/>
      <c r="V32" s="740" t="str">
        <f>IF(TITLE_DATE_PR_CHANGE="",IF(TITLE_DATE_PR="","",TITLE_DATE_PR),TITLE_DATE_PR_CHANGE)</f>
        <v/>
      </c>
      <c r="W32" s="740"/>
      <c r="X32" s="740"/>
      <c r="Y32" s="740"/>
      <c r="Z32" s="740"/>
      <c r="AA32" s="740"/>
      <c r="AB32" s="4"/>
      <c r="AC32" s="740" t="str">
        <f>IF(TITLE_DATE_PR_CHANGE="",IF(TITLE_DATE_PR="","",TITLE_DATE_PR),TITLE_DATE_PR_CHANGE)</f>
        <v/>
      </c>
      <c r="AD32" s="740"/>
      <c r="AE32" s="740"/>
      <c r="AF32" s="740"/>
      <c r="AG32" s="740"/>
      <c r="AH32" s="740"/>
      <c r="AI32" s="4"/>
      <c r="AJ32" s="4"/>
      <c r="AK32" s="96"/>
      <c r="AL32" s="46"/>
      <c r="AM32" s="46"/>
      <c r="AN32" s="46"/>
      <c r="AO32" s="46"/>
      <c r="AP32" s="46"/>
      <c r="AQ32" s="22">
        <v>0</v>
      </c>
    </row>
    <row r="33" spans="1:43" s="22" customFormat="1" ht="18.75" hidden="1" customHeight="1">
      <c r="A33" s="43"/>
      <c r="B33" s="43"/>
      <c r="C33" s="43"/>
      <c r="D33" s="43"/>
      <c r="E33" s="43"/>
      <c r="F33" s="43"/>
      <c r="G33" s="43"/>
      <c r="H33" s="43"/>
      <c r="I33" s="43"/>
      <c r="J33" s="43"/>
      <c r="K33" s="43"/>
      <c r="L33" s="43"/>
      <c r="M33" s="43"/>
      <c r="N33" s="43"/>
      <c r="O33" s="43"/>
      <c r="S33" s="721" t="s">
        <v>429</v>
      </c>
      <c r="T33" s="721"/>
      <c r="U33" s="453"/>
      <c r="V33" s="741" t="str">
        <f>IF(TITLE_NUMBER_PR_CHANGE="",IF(TITLE_NUMBER_PR="","",TITLE_NUMBER_PR),TITLE_NUMBER_PR_CHANGE)</f>
        <v/>
      </c>
      <c r="W33" s="741"/>
      <c r="X33" s="741"/>
      <c r="Y33" s="741"/>
      <c r="Z33" s="741"/>
      <c r="AA33" s="741"/>
      <c r="AB33" s="4"/>
      <c r="AC33" s="741" t="str">
        <f>IF(TITLE_NUMBER_PR_CHANGE="",IF(TITLE_NUMBER_PR="","",TITLE_NUMBER_PR),TITLE_NUMBER_PR_CHANGE)</f>
        <v/>
      </c>
      <c r="AD33" s="741"/>
      <c r="AE33" s="741"/>
      <c r="AF33" s="741"/>
      <c r="AG33" s="741"/>
      <c r="AH33" s="741"/>
      <c r="AI33" s="4"/>
      <c r="AJ33" s="4"/>
      <c r="AK33" s="96"/>
      <c r="AL33" s="46"/>
      <c r="AM33" s="46"/>
      <c r="AN33" s="46"/>
      <c r="AO33" s="46"/>
      <c r="AP33" s="46"/>
      <c r="AQ33" s="22">
        <v>0</v>
      </c>
    </row>
    <row r="34" spans="1:43" s="22" customFormat="1" ht="1.1499999999999999" customHeight="1">
      <c r="A34" s="43"/>
      <c r="B34" s="43"/>
      <c r="C34" s="43"/>
      <c r="D34" s="43"/>
      <c r="E34" s="43"/>
      <c r="F34" s="43"/>
      <c r="G34" s="43"/>
      <c r="H34" s="43"/>
      <c r="I34" s="43"/>
      <c r="J34" s="43"/>
      <c r="K34" s="43"/>
      <c r="L34" s="43"/>
      <c r="M34" s="43"/>
      <c r="N34" s="43"/>
      <c r="O34" s="43"/>
      <c r="S34" s="4"/>
      <c r="T34" s="4"/>
      <c r="U34" s="4"/>
      <c r="V34" s="4"/>
      <c r="W34" s="4"/>
      <c r="X34" s="4"/>
      <c r="Y34" s="4"/>
      <c r="Z34" s="4"/>
      <c r="AA34" s="4"/>
      <c r="AB34" s="46" t="s">
        <v>430</v>
      </c>
      <c r="AC34" s="4"/>
      <c r="AD34" s="4"/>
      <c r="AE34" s="4"/>
      <c r="AF34" s="4"/>
      <c r="AG34" s="4"/>
      <c r="AH34" s="4"/>
      <c r="AI34" s="46" t="s">
        <v>430</v>
      </c>
      <c r="AL34" s="46"/>
      <c r="AM34" s="46"/>
      <c r="AN34" s="46"/>
      <c r="AO34" s="46"/>
      <c r="AP34" s="46"/>
      <c r="AQ34" s="22">
        <v>1</v>
      </c>
    </row>
    <row r="35" spans="1:43" ht="14.65" customHeight="1">
      <c r="Q35" s="19"/>
      <c r="R35" s="19"/>
      <c r="S35" s="6"/>
      <c r="T35" s="6"/>
      <c r="U35" s="420"/>
      <c r="V35" s="755"/>
      <c r="W35" s="755"/>
      <c r="X35" s="755"/>
      <c r="Y35" s="755"/>
      <c r="Z35" s="755"/>
      <c r="AA35" s="755"/>
      <c r="AB35" s="755"/>
      <c r="AC35" s="755"/>
      <c r="AD35" s="755"/>
      <c r="AE35" s="755"/>
      <c r="AF35" s="755"/>
      <c r="AG35" s="755"/>
      <c r="AH35" s="755"/>
      <c r="AI35" s="755"/>
      <c r="AQ35" s="4">
        <v>14</v>
      </c>
    </row>
    <row r="36" spans="1:43" ht="14.65" customHeight="1">
      <c r="Q36" s="19"/>
      <c r="R36" s="19"/>
      <c r="S36" s="679" t="s">
        <v>303</v>
      </c>
      <c r="T36" s="679"/>
      <c r="U36" s="679"/>
      <c r="V36" s="679"/>
      <c r="W36" s="679"/>
      <c r="X36" s="679"/>
      <c r="Y36" s="679"/>
      <c r="Z36" s="679"/>
      <c r="AA36" s="679"/>
      <c r="AB36" s="679"/>
      <c r="AC36" s="679"/>
      <c r="AD36" s="679"/>
      <c r="AE36" s="679"/>
      <c r="AF36" s="679"/>
      <c r="AG36" s="679"/>
      <c r="AH36" s="679"/>
      <c r="AI36" s="679"/>
      <c r="AJ36" s="679"/>
      <c r="AK36" s="679" t="s">
        <v>304</v>
      </c>
      <c r="AQ36" s="4">
        <v>14</v>
      </c>
    </row>
    <row r="37" spans="1:43" ht="14.65" customHeight="1">
      <c r="Q37" s="19"/>
      <c r="R37" s="19"/>
      <c r="S37" s="722" t="s">
        <v>88</v>
      </c>
      <c r="T37" s="722" t="s">
        <v>431</v>
      </c>
      <c r="U37" s="100"/>
      <c r="V37" s="756" t="s">
        <v>432</v>
      </c>
      <c r="W37" s="757"/>
      <c r="X37" s="757"/>
      <c r="Y37" s="757"/>
      <c r="Z37" s="757"/>
      <c r="AA37" s="758"/>
      <c r="AB37" s="724" t="s">
        <v>433</v>
      </c>
      <c r="AC37" s="756" t="s">
        <v>432</v>
      </c>
      <c r="AD37" s="757"/>
      <c r="AE37" s="757"/>
      <c r="AF37" s="757"/>
      <c r="AG37" s="757"/>
      <c r="AH37" s="758"/>
      <c r="AI37" s="724" t="s">
        <v>434</v>
      </c>
      <c r="AJ37" s="759" t="s">
        <v>435</v>
      </c>
      <c r="AK37" s="679"/>
      <c r="AQ37" s="4">
        <v>14</v>
      </c>
    </row>
    <row r="38" spans="1:43" ht="35.65" customHeight="1">
      <c r="Q38" s="19"/>
      <c r="R38" s="19"/>
      <c r="S38" s="722"/>
      <c r="T38" s="722"/>
      <c r="U38" s="349"/>
      <c r="V38" s="100" t="s">
        <v>492</v>
      </c>
      <c r="W38" s="662" t="s">
        <v>438</v>
      </c>
      <c r="X38" s="661"/>
      <c r="Y38" s="662" t="s">
        <v>439</v>
      </c>
      <c r="Z38" s="666"/>
      <c r="AA38" s="661"/>
      <c r="AB38" s="725"/>
      <c r="AC38" s="100" t="s">
        <v>492</v>
      </c>
      <c r="AD38" s="662" t="s">
        <v>438</v>
      </c>
      <c r="AE38" s="661"/>
      <c r="AF38" s="662" t="s">
        <v>439</v>
      </c>
      <c r="AG38" s="666"/>
      <c r="AH38" s="661"/>
      <c r="AI38" s="725"/>
      <c r="AJ38" s="760"/>
      <c r="AK38" s="679"/>
      <c r="AQ38" s="4">
        <v>34</v>
      </c>
    </row>
    <row r="39" spans="1:43" ht="35.65" customHeight="1">
      <c r="B39" s="43" t="s">
        <v>140</v>
      </c>
      <c r="C39" s="43" t="s">
        <v>141</v>
      </c>
      <c r="D39" s="43" t="s">
        <v>142</v>
      </c>
      <c r="E39" s="43" t="s">
        <v>440</v>
      </c>
      <c r="F39" s="43" t="s">
        <v>441</v>
      </c>
      <c r="G39" s="43" t="s">
        <v>442</v>
      </c>
      <c r="I39" s="43" t="s">
        <v>493</v>
      </c>
      <c r="J39" s="43" t="s">
        <v>445</v>
      </c>
      <c r="K39" s="43" t="s">
        <v>494</v>
      </c>
      <c r="L39" s="43" t="s">
        <v>421</v>
      </c>
      <c r="Q39" s="19"/>
      <c r="R39" s="19"/>
      <c r="S39" s="722"/>
      <c r="T39" s="722"/>
      <c r="U39" s="101"/>
      <c r="V39" s="100" t="s">
        <v>495</v>
      </c>
      <c r="W39" s="27" t="s">
        <v>496</v>
      </c>
      <c r="X39" s="27" t="s">
        <v>497</v>
      </c>
      <c r="Y39" s="27" t="s">
        <v>449</v>
      </c>
      <c r="Z39" s="728" t="s">
        <v>450</v>
      </c>
      <c r="AA39" s="734"/>
      <c r="AB39" s="726"/>
      <c r="AC39" s="100" t="s">
        <v>495</v>
      </c>
      <c r="AD39" s="27" t="s">
        <v>496</v>
      </c>
      <c r="AE39" s="27" t="s">
        <v>497</v>
      </c>
      <c r="AF39" s="27" t="s">
        <v>449</v>
      </c>
      <c r="AG39" s="728" t="s">
        <v>450</v>
      </c>
      <c r="AH39" s="734"/>
      <c r="AI39" s="726"/>
      <c r="AJ39" s="761"/>
      <c r="AK39" s="679"/>
      <c r="AQ39" s="4">
        <v>34</v>
      </c>
    </row>
    <row r="40" spans="1:43" s="117" customFormat="1" ht="11.25" hidden="1" customHeight="1">
      <c r="A40" s="43"/>
      <c r="B40" s="43"/>
      <c r="C40" s="43"/>
      <c r="D40" s="43"/>
      <c r="E40" s="43"/>
      <c r="F40" s="43"/>
      <c r="G40" s="43"/>
      <c r="H40" s="43"/>
      <c r="I40" s="43"/>
      <c r="J40" s="43"/>
      <c r="K40" s="43"/>
      <c r="L40" s="43"/>
      <c r="M40" s="167"/>
      <c r="N40" s="167"/>
      <c r="O40" s="167"/>
      <c r="P40" s="178"/>
      <c r="Q40" s="422"/>
      <c r="R40" s="424">
        <v>1</v>
      </c>
      <c r="S40" s="425" t="s">
        <v>110</v>
      </c>
      <c r="T40" s="425" t="s">
        <v>111</v>
      </c>
      <c r="U40" s="421" t="str">
        <f ca="1">OFFSET(U40,0,-1)</f>
        <v>2</v>
      </c>
      <c r="V40" s="426">
        <f ca="1">OFFSET(V40,0,-1)+1</f>
        <v>3</v>
      </c>
      <c r="W40" s="426">
        <f ca="1">OFFSET(W40,0,-1)+1</f>
        <v>4</v>
      </c>
      <c r="X40" s="426">
        <f ca="1">OFFSET(X40,0,-1)+1</f>
        <v>5</v>
      </c>
      <c r="Y40" s="426">
        <f ca="1">OFFSET(Y40,0,-1)+1</f>
        <v>6</v>
      </c>
      <c r="Z40" s="754">
        <f ca="1">OFFSET(Z40,0,-1)+1</f>
        <v>7</v>
      </c>
      <c r="AA40" s="754"/>
      <c r="AB40" s="426">
        <f ca="1">OFFSET(AB40,0,-2)+1</f>
        <v>8</v>
      </c>
      <c r="AC40" s="426">
        <f ca="1">OFFSET(AC40,0,-1)+1</f>
        <v>9</v>
      </c>
      <c r="AD40" s="426">
        <f ca="1">OFFSET(AD40,0,-1)+1</f>
        <v>10</v>
      </c>
      <c r="AE40" s="426">
        <f ca="1">OFFSET(AE40,0,-1)+1</f>
        <v>11</v>
      </c>
      <c r="AF40" s="426">
        <f ca="1">OFFSET(AF40,0,-1)+1</f>
        <v>12</v>
      </c>
      <c r="AG40" s="754">
        <f ca="1">OFFSET(AG40,0,-1)+1</f>
        <v>13</v>
      </c>
      <c r="AH40" s="754"/>
      <c r="AI40" s="426">
        <f ca="1">OFFSET(AI40,0,-2)+1</f>
        <v>14</v>
      </c>
      <c r="AJ40" s="421">
        <f ca="1">OFFSET(AJ40,0,-1)</f>
        <v>14</v>
      </c>
      <c r="AK40" s="426">
        <f ca="1">OFFSET(AK40,0,-1)+1</f>
        <v>15</v>
      </c>
      <c r="AL40" s="46"/>
      <c r="AM40" s="46"/>
      <c r="AN40" s="46"/>
      <c r="AO40" s="46"/>
      <c r="AP40" s="46"/>
      <c r="AQ40" s="117">
        <v>0</v>
      </c>
    </row>
    <row r="41" spans="1:43" ht="24" customHeight="1">
      <c r="A41" s="43" t="s">
        <v>229</v>
      </c>
      <c r="E41" s="745">
        <v>1</v>
      </c>
      <c r="M41" s="43"/>
      <c r="N41" s="43"/>
      <c r="O41" s="43"/>
      <c r="Q41" s="4"/>
      <c r="R41" s="119"/>
      <c r="S41" s="24">
        <f>INDEX(PT_DIFFERENTIATION_NUM_NTAR,MATCH(A41,PT_DIFFERENTIATION_NTAR_ID,0))</f>
        <v>0</v>
      </c>
      <c r="T41" s="29" t="s">
        <v>128</v>
      </c>
      <c r="U41" s="29"/>
      <c r="V41" s="742"/>
      <c r="W41" s="743"/>
      <c r="X41" s="743"/>
      <c r="Y41" s="743"/>
      <c r="Z41" s="743"/>
      <c r="AA41" s="743"/>
      <c r="AB41" s="744"/>
      <c r="AC41" s="742" t="str">
        <f>INDEX(PT_DIFFERENTIATION_NTAR,MATCH(A41,PT_DIFFERENTIATION_NTAR_ID,0))</f>
        <v/>
      </c>
      <c r="AD41" s="743"/>
      <c r="AE41" s="743"/>
      <c r="AF41" s="743"/>
      <c r="AG41" s="743"/>
      <c r="AH41" s="743"/>
      <c r="AI41" s="743"/>
      <c r="AJ41" s="744"/>
      <c r="AK41" s="4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N41" s="46" t="str">
        <f t="shared" ref="AN41:AN53" si="1">IF(T41="","",T41)</f>
        <v>Наименование тарифа</v>
      </c>
      <c r="AQ41" s="4">
        <v>23</v>
      </c>
    </row>
    <row r="42" spans="1:43" ht="24" customHeight="1">
      <c r="A42" s="43" t="s">
        <v>229</v>
      </c>
      <c r="B42" s="43" t="s">
        <v>230</v>
      </c>
      <c r="E42" s="747"/>
      <c r="F42" s="745">
        <v>1</v>
      </c>
      <c r="M42" s="43"/>
      <c r="N42" s="43"/>
      <c r="O42" s="43"/>
      <c r="P42" s="4"/>
      <c r="Q42" s="118"/>
      <c r="R42" s="119"/>
      <c r="S42" s="24" t="str">
        <f>INDEX(PT_DIFFERENTIATION_NUM_TER,MATCH(B42,PT_DIFFERENTIATION_TER_ID,0))</f>
        <v>.</v>
      </c>
      <c r="T42" s="24" t="s">
        <v>400</v>
      </c>
      <c r="U42" s="29"/>
      <c r="V42" s="742"/>
      <c r="W42" s="743"/>
      <c r="X42" s="743"/>
      <c r="Y42" s="743"/>
      <c r="Z42" s="743"/>
      <c r="AA42" s="743"/>
      <c r="AB42" s="744"/>
      <c r="AC42" s="742" t="str">
        <f>INDEX(PT_DIFFERENTIATION_TER,MATCH(B42,PT_DIFFERENTIATION_TER_ID,0))</f>
        <v/>
      </c>
      <c r="AD42" s="743"/>
      <c r="AE42" s="743"/>
      <c r="AF42" s="743"/>
      <c r="AG42" s="743"/>
      <c r="AH42" s="743"/>
      <c r="AI42" s="743"/>
      <c r="AJ42" s="744"/>
      <c r="AK42" s="428" t="s">
        <v>401</v>
      </c>
      <c r="AN42" s="46" t="str">
        <f t="shared" si="1"/>
        <v>Территория действия тарифа</v>
      </c>
      <c r="AQ42" s="4">
        <v>23</v>
      </c>
    </row>
    <row r="43" spans="1:43" ht="24" customHeight="1">
      <c r="A43" s="43" t="s">
        <v>229</v>
      </c>
      <c r="B43" s="43" t="s">
        <v>230</v>
      </c>
      <c r="C43" s="43" t="s">
        <v>231</v>
      </c>
      <c r="E43" s="747"/>
      <c r="F43" s="747"/>
      <c r="G43" s="745">
        <v>1</v>
      </c>
      <c r="M43" s="43"/>
      <c r="N43" s="43"/>
      <c r="O43" s="43"/>
      <c r="P43" s="16"/>
      <c r="Q43" s="118"/>
      <c r="R43" s="119"/>
      <c r="S43" s="24" t="str">
        <f>INDEX(PT_DIFFERENTIATION_NUM_CS,MATCH(C43,PT_DIFFERENTIATION_CS_ID,0))</f>
        <v>..</v>
      </c>
      <c r="T43" s="24" t="s">
        <v>484</v>
      </c>
      <c r="U43" s="29"/>
      <c r="V43" s="742"/>
      <c r="W43" s="743"/>
      <c r="X43" s="743"/>
      <c r="Y43" s="743"/>
      <c r="Z43" s="743"/>
      <c r="AA43" s="743"/>
      <c r="AB43" s="744"/>
      <c r="AC43" s="742" t="str">
        <f>INDEX(PT_DIFFERENTIATION_CS,MATCH(C43,PT_DIFFERENTIATION_CS_ID,0))</f>
        <v/>
      </c>
      <c r="AD43" s="743"/>
      <c r="AE43" s="743"/>
      <c r="AF43" s="743"/>
      <c r="AG43" s="743"/>
      <c r="AH43" s="743"/>
      <c r="AI43" s="743"/>
      <c r="AJ43" s="744"/>
      <c r="AK43" s="428" t="s">
        <v>485</v>
      </c>
      <c r="AN43" s="46" t="str">
        <f t="shared" si="1"/>
        <v>Наименование централизованной системы холодного водоснабжения</v>
      </c>
      <c r="AQ43" s="4">
        <v>23</v>
      </c>
    </row>
    <row r="44" spans="1:43" ht="24" customHeight="1">
      <c r="A44" s="43" t="s">
        <v>229</v>
      </c>
      <c r="B44" s="43" t="s">
        <v>230</v>
      </c>
      <c r="C44" s="43" t="s">
        <v>231</v>
      </c>
      <c r="D44" s="43" t="s">
        <v>498</v>
      </c>
      <c r="E44" s="747"/>
      <c r="F44" s="747"/>
      <c r="G44" s="747"/>
      <c r="H44" s="747"/>
      <c r="I44" s="745" t="str">
        <f>S43&amp;".1"</f>
        <v>...1</v>
      </c>
      <c r="P44" s="748">
        <v>1</v>
      </c>
      <c r="Q44" s="46"/>
      <c r="R44" s="120"/>
      <c r="S44" s="24" t="str">
        <f>$I44</f>
        <v>...1</v>
      </c>
      <c r="T44" s="24" t="s">
        <v>486</v>
      </c>
      <c r="U44" s="29"/>
      <c r="V44" s="793"/>
      <c r="W44" s="794"/>
      <c r="X44" s="794"/>
      <c r="Y44" s="794"/>
      <c r="Z44" s="794"/>
      <c r="AA44" s="794"/>
      <c r="AB44" s="795"/>
      <c r="AC44" s="793"/>
      <c r="AD44" s="794"/>
      <c r="AE44" s="794"/>
      <c r="AF44" s="794"/>
      <c r="AG44" s="794"/>
      <c r="AH44" s="794"/>
      <c r="AI44" s="794"/>
      <c r="AJ44" s="795"/>
      <c r="AK44" s="428" t="s">
        <v>487</v>
      </c>
      <c r="AN44" s="46" t="str">
        <f t="shared" si="1"/>
        <v>Наименование признака дифференциации</v>
      </c>
      <c r="AQ44" s="4">
        <v>23</v>
      </c>
    </row>
    <row r="45" spans="1:43" ht="24" customHeight="1">
      <c r="A45" s="43" t="s">
        <v>229</v>
      </c>
      <c r="B45" s="43" t="s">
        <v>230</v>
      </c>
      <c r="C45" s="43" t="s">
        <v>231</v>
      </c>
      <c r="D45" s="43" t="s">
        <v>498</v>
      </c>
      <c r="E45" s="747"/>
      <c r="F45" s="747"/>
      <c r="G45" s="747"/>
      <c r="H45" s="747"/>
      <c r="I45" s="747"/>
      <c r="J45" s="745" t="str">
        <f>I44&amp;".1"</f>
        <v>...1.1</v>
      </c>
      <c r="L45" s="43" t="s">
        <v>409</v>
      </c>
      <c r="P45" s="748"/>
      <c r="Q45" s="748">
        <v>1</v>
      </c>
      <c r="R45" s="120"/>
      <c r="S45" s="24" t="str">
        <f>$J45</f>
        <v>...1.1</v>
      </c>
      <c r="T45" s="24" t="s">
        <v>410</v>
      </c>
      <c r="U45" s="29"/>
      <c r="V45" s="737"/>
      <c r="W45" s="738"/>
      <c r="X45" s="738"/>
      <c r="Y45" s="738"/>
      <c r="Z45" s="738"/>
      <c r="AA45" s="738"/>
      <c r="AB45" s="739"/>
      <c r="AC45" s="737"/>
      <c r="AD45" s="738"/>
      <c r="AE45" s="738"/>
      <c r="AF45" s="738"/>
      <c r="AG45" s="738"/>
      <c r="AH45" s="738"/>
      <c r="AI45" s="738"/>
      <c r="AJ45" s="739"/>
      <c r="AK45" s="445" t="s">
        <v>488</v>
      </c>
      <c r="AN45" s="46" t="str">
        <f t="shared" si="1"/>
        <v>Группа потребителей</v>
      </c>
      <c r="AQ45" s="4">
        <v>23</v>
      </c>
    </row>
    <row r="46" spans="1:43" ht="24" customHeight="1">
      <c r="A46" s="43" t="s">
        <v>229</v>
      </c>
      <c r="B46" s="43" t="s">
        <v>230</v>
      </c>
      <c r="C46" s="43" t="s">
        <v>231</v>
      </c>
      <c r="D46" s="43" t="s">
        <v>498</v>
      </c>
      <c r="E46" s="747"/>
      <c r="F46" s="747"/>
      <c r="G46" s="747"/>
      <c r="H46" s="747"/>
      <c r="I46" s="747"/>
      <c r="J46" s="747"/>
      <c r="K46" s="745" t="str">
        <f>J45&amp;".1"</f>
        <v>...1.1.1</v>
      </c>
      <c r="P46" s="748"/>
      <c r="Q46" s="748"/>
      <c r="R46" s="120">
        <v>1</v>
      </c>
      <c r="S46" s="24" t="str">
        <f>$K46</f>
        <v>...1.1.1</v>
      </c>
      <c r="T46" s="25"/>
      <c r="U46" s="29"/>
      <c r="V46" s="205"/>
      <c r="W46" s="205"/>
      <c r="X46" s="451"/>
      <c r="Y46" s="746"/>
      <c r="Z46" s="745" t="s">
        <v>66</v>
      </c>
      <c r="AA46" s="746"/>
      <c r="AB46" s="745" t="s">
        <v>66</v>
      </c>
      <c r="AC46" s="168"/>
      <c r="AD46" s="168"/>
      <c r="AE46" s="427"/>
      <c r="AF46" s="749"/>
      <c r="AG46" s="688" t="s">
        <v>66</v>
      </c>
      <c r="AH46" s="750"/>
      <c r="AI46" s="688" t="s">
        <v>19</v>
      </c>
      <c r="AJ46" s="474"/>
      <c r="AK46" s="79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6" t="e">
        <f ca="1">STRCHECKDATE(V47:AJ47)</f>
        <v>#NAME?</v>
      </c>
      <c r="AN46" s="46" t="str">
        <f t="shared" si="1"/>
        <v/>
      </c>
      <c r="AQ46" s="4">
        <v>23</v>
      </c>
    </row>
    <row r="47" spans="1:43" ht="0" hidden="1" customHeight="1">
      <c r="A47" s="43" t="s">
        <v>229</v>
      </c>
      <c r="B47" s="43" t="s">
        <v>230</v>
      </c>
      <c r="C47" s="43" t="s">
        <v>231</v>
      </c>
      <c r="D47" s="43" t="s">
        <v>498</v>
      </c>
      <c r="E47" s="747"/>
      <c r="F47" s="747"/>
      <c r="G47" s="747"/>
      <c r="H47" s="747"/>
      <c r="I47" s="747"/>
      <c r="J47" s="747"/>
      <c r="K47" s="745"/>
      <c r="P47" s="748"/>
      <c r="Q47" s="748"/>
      <c r="R47" s="120"/>
      <c r="S47" s="31"/>
      <c r="T47" s="29"/>
      <c r="U47" s="29"/>
      <c r="V47" s="205"/>
      <c r="W47" s="205"/>
      <c r="X47" s="111" t="str">
        <f>Y46&amp;"-"&amp;AA46</f>
        <v>-</v>
      </c>
      <c r="Y47" s="745"/>
      <c r="Z47" s="745"/>
      <c r="AA47" s="745"/>
      <c r="AB47" s="745"/>
      <c r="AC47" s="110"/>
      <c r="AD47" s="110"/>
      <c r="AE47" s="111" t="str">
        <f>AF46&amp;"-"&amp;AH46</f>
        <v>-</v>
      </c>
      <c r="AF47" s="707"/>
      <c r="AG47" s="688"/>
      <c r="AH47" s="751"/>
      <c r="AI47" s="688"/>
      <c r="AJ47" s="216"/>
      <c r="AK47" s="796"/>
      <c r="AN47" s="46" t="str">
        <f t="shared" si="1"/>
        <v/>
      </c>
      <c r="AQ47" s="4">
        <v>0</v>
      </c>
    </row>
    <row r="48" spans="1:43" ht="21" customHeight="1">
      <c r="A48" s="43" t="s">
        <v>229</v>
      </c>
      <c r="B48" s="43" t="s">
        <v>230</v>
      </c>
      <c r="C48" s="43" t="s">
        <v>231</v>
      </c>
      <c r="D48" s="43" t="s">
        <v>498</v>
      </c>
      <c r="E48" s="747"/>
      <c r="F48" s="747"/>
      <c r="G48" s="747"/>
      <c r="H48" s="747"/>
      <c r="I48" s="747"/>
      <c r="J48" s="745"/>
      <c r="P48" s="748"/>
      <c r="Q48" s="748"/>
      <c r="R48" s="120"/>
      <c r="S48" s="434"/>
      <c r="T48" s="37" t="s">
        <v>489</v>
      </c>
      <c r="U48" s="58"/>
      <c r="V48" s="58"/>
      <c r="W48" s="58"/>
      <c r="X48" s="58"/>
      <c r="Y48" s="58"/>
      <c r="Z48" s="58"/>
      <c r="AA48" s="58"/>
      <c r="AB48" s="58"/>
      <c r="AC48" s="58"/>
      <c r="AD48" s="58"/>
      <c r="AE48" s="58"/>
      <c r="AF48" s="58"/>
      <c r="AG48" s="58"/>
      <c r="AH48" s="58"/>
      <c r="AI48" s="58"/>
      <c r="AJ48" s="58"/>
      <c r="AK48" s="428" t="s">
        <v>490</v>
      </c>
      <c r="AN48" s="46" t="str">
        <f t="shared" si="1"/>
        <v>Добавить значение признака дифференциации</v>
      </c>
      <c r="AQ48" s="4">
        <v>20</v>
      </c>
    </row>
    <row r="49" spans="1:43" ht="21.95" customHeight="1">
      <c r="A49" s="43" t="s">
        <v>229</v>
      </c>
      <c r="B49" s="43" t="s">
        <v>230</v>
      </c>
      <c r="C49" s="43" t="s">
        <v>231</v>
      </c>
      <c r="D49" s="43" t="s">
        <v>498</v>
      </c>
      <c r="E49" s="747"/>
      <c r="F49" s="747"/>
      <c r="G49" s="747"/>
      <c r="H49" s="747"/>
      <c r="I49" s="745"/>
      <c r="P49" s="748"/>
      <c r="Q49" s="46"/>
      <c r="R49" s="120"/>
      <c r="S49" s="434"/>
      <c r="T49" s="37" t="s">
        <v>415</v>
      </c>
      <c r="U49" s="58"/>
      <c r="V49" s="58"/>
      <c r="W49" s="58"/>
      <c r="X49" s="58"/>
      <c r="Y49" s="58"/>
      <c r="Z49" s="58"/>
      <c r="AA49" s="58"/>
      <c r="AB49" s="54"/>
      <c r="AC49" s="58"/>
      <c r="AD49" s="58"/>
      <c r="AE49" s="58"/>
      <c r="AF49" s="58"/>
      <c r="AG49" s="58"/>
      <c r="AH49" s="58"/>
      <c r="AI49" s="54"/>
      <c r="AJ49" s="58"/>
      <c r="AK49" s="475"/>
      <c r="AN49" s="46" t="str">
        <f t="shared" si="1"/>
        <v>Добавить группу потребителей</v>
      </c>
      <c r="AQ49" s="4">
        <v>21</v>
      </c>
    </row>
    <row r="50" spans="1:43" ht="21.95" customHeight="1">
      <c r="A50" s="43" t="s">
        <v>229</v>
      </c>
      <c r="B50" s="43" t="s">
        <v>230</v>
      </c>
      <c r="C50" s="43" t="s">
        <v>231</v>
      </c>
      <c r="D50" s="43" t="s">
        <v>498</v>
      </c>
      <c r="E50" s="747"/>
      <c r="F50" s="747"/>
      <c r="G50" s="747"/>
      <c r="H50" s="745"/>
      <c r="M50" s="43"/>
      <c r="N50" s="43"/>
      <c r="O50" s="43"/>
      <c r="P50" s="4"/>
      <c r="R50" s="119"/>
      <c r="S50" s="434"/>
      <c r="T50" s="37" t="s">
        <v>491</v>
      </c>
      <c r="U50" s="58"/>
      <c r="V50" s="58"/>
      <c r="W50" s="58"/>
      <c r="X50" s="58"/>
      <c r="Y50" s="58"/>
      <c r="Z50" s="58"/>
      <c r="AA50" s="58"/>
      <c r="AB50" s="54"/>
      <c r="AC50" s="58"/>
      <c r="AD50" s="58"/>
      <c r="AE50" s="58"/>
      <c r="AF50" s="58"/>
      <c r="AG50" s="58"/>
      <c r="AH50" s="58"/>
      <c r="AI50" s="54"/>
      <c r="AJ50" s="58"/>
      <c r="AK50" s="102"/>
      <c r="AN50" s="46" t="str">
        <f t="shared" si="1"/>
        <v>Добавить наименование признака дифференциации</v>
      </c>
      <c r="AQ50" s="4">
        <v>21</v>
      </c>
    </row>
    <row r="51" spans="1:43" s="46" customFormat="1" ht="0" hidden="1" customHeight="1">
      <c r="A51" s="46" t="s">
        <v>229</v>
      </c>
      <c r="B51" s="46" t="s">
        <v>230</v>
      </c>
      <c r="E51" s="747"/>
      <c r="F51" s="745"/>
      <c r="M51" s="160"/>
      <c r="N51" s="160"/>
      <c r="Q51" s="446"/>
      <c r="S51" s="449"/>
      <c r="T51" s="160" t="s">
        <v>418</v>
      </c>
      <c r="U51" s="160"/>
      <c r="V51" s="160"/>
      <c r="W51" s="160"/>
      <c r="X51" s="160"/>
      <c r="Y51" s="160"/>
      <c r="Z51" s="160"/>
      <c r="AA51" s="160"/>
      <c r="AB51" s="160"/>
      <c r="AC51" s="160"/>
      <c r="AD51" s="160"/>
      <c r="AE51" s="160"/>
      <c r="AF51" s="160"/>
      <c r="AG51" s="160"/>
      <c r="AH51" s="160"/>
      <c r="AI51" s="160"/>
      <c r="AJ51" s="160"/>
      <c r="AK51" s="160"/>
      <c r="AN51" s="46" t="str">
        <f t="shared" si="1"/>
        <v>Добавить централизованную систему для дифференциации</v>
      </c>
      <c r="AQ51" s="46">
        <v>0</v>
      </c>
    </row>
    <row r="52" spans="1:43" s="46" customFormat="1" ht="0" hidden="1" customHeight="1">
      <c r="A52" s="46" t="s">
        <v>229</v>
      </c>
      <c r="E52" s="745"/>
      <c r="M52" s="160"/>
      <c r="N52" s="160"/>
      <c r="Q52" s="446"/>
      <c r="S52" s="449"/>
      <c r="T52" s="160" t="s">
        <v>419</v>
      </c>
      <c r="U52" s="160"/>
      <c r="V52" s="160"/>
      <c r="W52" s="160"/>
      <c r="X52" s="160"/>
      <c r="Y52" s="160"/>
      <c r="Z52" s="160"/>
      <c r="AA52" s="160"/>
      <c r="AB52" s="160"/>
      <c r="AC52" s="160"/>
      <c r="AD52" s="160"/>
      <c r="AE52" s="160"/>
      <c r="AF52" s="160"/>
      <c r="AG52" s="160"/>
      <c r="AH52" s="160"/>
      <c r="AI52" s="160"/>
      <c r="AJ52" s="160"/>
      <c r="AK52" s="160"/>
      <c r="AN52" s="46" t="str">
        <f t="shared" si="1"/>
        <v>Добавить территорию для дифференциации</v>
      </c>
      <c r="AQ52" s="46">
        <v>0</v>
      </c>
    </row>
    <row r="53" spans="1:43" s="46" customFormat="1" ht="0" hidden="1" customHeight="1">
      <c r="M53" s="160"/>
      <c r="N53" s="160"/>
      <c r="Q53" s="446"/>
      <c r="S53" s="449"/>
      <c r="T53" s="160" t="s">
        <v>451</v>
      </c>
      <c r="U53" s="160"/>
      <c r="V53" s="160"/>
      <c r="W53" s="160"/>
      <c r="X53" s="160"/>
      <c r="Y53" s="160"/>
      <c r="Z53" s="160"/>
      <c r="AA53" s="160"/>
      <c r="AB53" s="160"/>
      <c r="AC53" s="160"/>
      <c r="AD53" s="160"/>
      <c r="AE53" s="160"/>
      <c r="AF53" s="160"/>
      <c r="AG53" s="160"/>
      <c r="AH53" s="160"/>
      <c r="AI53" s="160"/>
      <c r="AJ53" s="160"/>
      <c r="AK53" s="160"/>
      <c r="AN53" s="46" t="str">
        <f t="shared" si="1"/>
        <v>Добавить наименование тарифа</v>
      </c>
      <c r="AQ53" s="46">
        <v>0</v>
      </c>
    </row>
    <row r="54" spans="1:43" ht="11.45" customHeight="1">
      <c r="M54" s="43"/>
      <c r="N54" s="43"/>
      <c r="O54" s="43"/>
      <c r="P54" s="4"/>
      <c r="Q54" s="4"/>
      <c r="R54" s="4"/>
      <c r="AL54" s="4"/>
      <c r="AM54" s="4"/>
      <c r="AN54" s="4"/>
      <c r="AO54" s="4"/>
      <c r="AP54" s="4"/>
      <c r="AQ54" s="4">
        <v>11</v>
      </c>
    </row>
    <row r="55" spans="1:43" ht="14.65" customHeight="1">
      <c r="O55" s="43"/>
      <c r="T55" s="665"/>
      <c r="U55" s="665"/>
      <c r="V55" s="665"/>
      <c r="W55" s="665"/>
      <c r="X55" s="665"/>
      <c r="Y55" s="665"/>
      <c r="Z55" s="665"/>
      <c r="AA55" s="665"/>
      <c r="AB55" s="665"/>
      <c r="AC55" s="665"/>
      <c r="AD55" s="665"/>
      <c r="AE55" s="665"/>
      <c r="AF55" s="665"/>
      <c r="AG55" s="665"/>
      <c r="AH55" s="665"/>
      <c r="AI55" s="665"/>
      <c r="AJ55" s="665"/>
      <c r="AK55" s="665"/>
      <c r="AQ55" s="4">
        <v>14</v>
      </c>
    </row>
    <row r="56" spans="1:43" ht="14.65" customHeight="1">
      <c r="O56" s="43"/>
      <c r="AQ56" s="4">
        <v>14</v>
      </c>
    </row>
    <row r="57" spans="1:43" ht="14.65" customHeight="1">
      <c r="O57" s="43"/>
      <c r="T57" s="665"/>
      <c r="U57" s="665"/>
      <c r="V57" s="665"/>
      <c r="W57" s="665"/>
      <c r="X57" s="665"/>
      <c r="Y57" s="665"/>
      <c r="Z57" s="665"/>
      <c r="AA57" s="665"/>
      <c r="AB57" s="665"/>
      <c r="AC57" s="665"/>
      <c r="AD57" s="665"/>
      <c r="AE57" s="665"/>
      <c r="AF57" s="665"/>
      <c r="AG57" s="665"/>
      <c r="AH57" s="665"/>
      <c r="AI57" s="665"/>
      <c r="AJ57" s="665"/>
      <c r="AK57" s="665"/>
      <c r="AQ57" s="4">
        <v>14</v>
      </c>
    </row>
    <row r="58" spans="1:43" ht="22.5" hidden="1" customHeight="1">
      <c r="A58" s="43" t="s">
        <v>82</v>
      </c>
      <c r="B58" s="43">
        <v>0</v>
      </c>
      <c r="C58" s="43">
        <v>0</v>
      </c>
      <c r="D58" s="43">
        <v>0</v>
      </c>
      <c r="E58" s="43">
        <v>0</v>
      </c>
      <c r="F58" s="43">
        <v>0</v>
      </c>
      <c r="G58" s="43">
        <v>0</v>
      </c>
      <c r="H58" s="43">
        <v>0</v>
      </c>
      <c r="I58" s="43">
        <v>0</v>
      </c>
      <c r="J58" s="43">
        <v>0</v>
      </c>
      <c r="K58" s="43">
        <v>0</v>
      </c>
      <c r="L58" s="43">
        <v>0</v>
      </c>
      <c r="M58" s="167">
        <v>0</v>
      </c>
      <c r="N58" s="167">
        <v>0</v>
      </c>
      <c r="O58" s="167">
        <v>0</v>
      </c>
      <c r="P58" s="23">
        <v>3</v>
      </c>
      <c r="Q58" s="20">
        <v>3</v>
      </c>
      <c r="R58" s="20">
        <v>3</v>
      </c>
      <c r="S58" s="4">
        <v>12</v>
      </c>
      <c r="T58" s="4">
        <v>35</v>
      </c>
      <c r="U58" s="4">
        <v>0</v>
      </c>
      <c r="V58" s="4">
        <v>0</v>
      </c>
      <c r="W58" s="4">
        <v>0</v>
      </c>
      <c r="X58" s="4">
        <v>0</v>
      </c>
      <c r="Y58" s="4">
        <v>0</v>
      </c>
      <c r="Z58" s="4">
        <v>0</v>
      </c>
      <c r="AA58" s="4">
        <v>0</v>
      </c>
      <c r="AB58" s="4">
        <v>0</v>
      </c>
      <c r="AC58" s="4">
        <v>24</v>
      </c>
      <c r="AD58" s="4">
        <v>24</v>
      </c>
      <c r="AE58" s="4">
        <v>24</v>
      </c>
      <c r="AF58" s="4">
        <v>11</v>
      </c>
      <c r="AG58" s="4">
        <v>3</v>
      </c>
      <c r="AH58" s="4">
        <v>11</v>
      </c>
      <c r="AI58" s="4">
        <v>0</v>
      </c>
      <c r="AJ58" s="4">
        <v>4</v>
      </c>
      <c r="AK58" s="4">
        <v>115</v>
      </c>
      <c r="AL58" s="46">
        <v>10</v>
      </c>
      <c r="AM58" s="46">
        <v>10</v>
      </c>
      <c r="AN58" s="46">
        <v>10</v>
      </c>
      <c r="AO58" s="46">
        <v>10</v>
      </c>
      <c r="AP58" s="46">
        <v>10</v>
      </c>
      <c r="AQ58" s="4">
        <v>23</v>
      </c>
    </row>
  </sheetData>
  <sheetProtection formatColumns="0" formatRows="0" insertRows="0" deleteColumns="0" deleteRows="0" sort="0" autoFilter="0"/>
  <mergeCells count="101">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xr:uid="{00000000-0002-0000-1400-000000000000}"/>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xr:uid="{00000000-0002-0000-1400-000001000000}">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xr:uid="{00000000-0002-0000-1400-000002000000}">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xr:uid="{00000000-0002-0000-1400-000003000000}">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xr:uid="{00000000-0002-0000-1400-000004000000}"/>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xr:uid="{00000000-0002-0000-1400-000005000000}"/>
    <dataValidation allowBlank="1" sqref="S131116:AK131122 S196652:AK196658 S262188:AK262194 S327724:AK327730 S393260:AK393266 S458796:AK458802 S524332:AK524338 S589868:AK589874 S655404:AK655410 S720940:AK720946 S786476:AK786482 S852012:AK852018 S917548:AK917554 S983084:AK983090 S65580:AK65586" xr:uid="{00000000-0002-0000-1400-000006000000}"/>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xr:uid="{00000000-0002-0000-1400-000007000000}">
      <formula1>kind_of_cons</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BFD8BB-F32A-3F12-97C1-F5ADD4362956}">
  <sheetPr>
    <tabColor theme="6" tint="0.39997558519241921"/>
  </sheetPr>
  <dimension ref="A1:AQ58"/>
  <sheetViews>
    <sheetView showGridLines="0" zoomScale="90" workbookViewId="0">
      <pane xSplit="28" ySplit="40" topLeftCell="AC41" activePane="bottomRight" state="frozen"/>
      <selection pane="topRight" activeCell="AC1" sqref="AC1"/>
      <selection pane="bottomLeft" activeCell="A41" sqref="A41"/>
      <selection pane="bottomRight"/>
    </sheetView>
  </sheetViews>
  <sheetFormatPr defaultColWidth="10.5703125" defaultRowHeight="14.25" customHeight="1"/>
  <cols>
    <col min="1" max="1" width="10.5703125" style="43" hidden="1"/>
    <col min="2" max="2" width="11" style="43" hidden="1" customWidth="1"/>
    <col min="3" max="3" width="10.5703125" style="43" hidden="1"/>
    <col min="4" max="4" width="11.85546875" style="43" hidden="1" customWidth="1"/>
    <col min="5" max="5" width="10" style="43" hidden="1" customWidth="1"/>
    <col min="6" max="6" width="8.7109375" style="43" hidden="1" customWidth="1"/>
    <col min="7" max="7" width="7.5703125" style="43" hidden="1" customWidth="1"/>
    <col min="8" max="8" width="11.42578125" style="43" hidden="1" customWidth="1"/>
    <col min="9" max="9" width="14.140625" style="43" hidden="1" customWidth="1"/>
    <col min="10" max="10" width="9.85546875" style="43" hidden="1" customWidth="1"/>
    <col min="11" max="11" width="14.7109375" style="43" hidden="1" customWidth="1"/>
    <col min="12" max="12" width="19.140625" style="43" hidden="1" customWidth="1"/>
    <col min="13" max="14" width="12.28515625" style="167" hidden="1" customWidth="1"/>
    <col min="15" max="15" width="23.42578125" style="167" hidden="1" customWidth="1"/>
    <col min="16" max="16" width="3" style="23" customWidth="1"/>
    <col min="17" max="18" width="3" style="20" customWidth="1"/>
    <col min="19" max="19" width="12" style="4" customWidth="1"/>
    <col min="20" max="20" width="35" style="4" customWidth="1"/>
    <col min="21" max="21" width="0.140625" style="4" customWidth="1"/>
    <col min="22" max="24" width="24.7109375" style="4" hidden="1" customWidth="1"/>
    <col min="25" max="25" width="11.7109375" style="4" hidden="1" customWidth="1"/>
    <col min="26" max="26" width="3.7109375" style="4" hidden="1" customWidth="1"/>
    <col min="27" max="27" width="11.7109375" style="4" hidden="1" customWidth="1"/>
    <col min="28" max="28" width="8.5703125" style="4" hidden="1" customWidth="1"/>
    <col min="29" max="29" width="24.7109375" style="4" customWidth="1"/>
    <col min="30" max="31" width="24" style="4" customWidth="1"/>
    <col min="32" max="32" width="11" style="4" customWidth="1"/>
    <col min="33" max="33" width="3.7109375" style="4" customWidth="1"/>
    <col min="34" max="34" width="11" style="4" customWidth="1"/>
    <col min="35" max="35" width="8.5703125" style="4" hidden="1" customWidth="1"/>
    <col min="36" max="36" width="4" style="4" customWidth="1"/>
    <col min="37" max="37" width="115" style="4" customWidth="1"/>
    <col min="38" max="42" width="10" style="46" customWidth="1"/>
    <col min="43" max="43" width="10.5703125" style="4" hidden="1"/>
  </cols>
  <sheetData>
    <row r="1" spans="5:43" ht="22.5" hidden="1" customHeight="1">
      <c r="AQ1" s="4" t="s">
        <v>14</v>
      </c>
    </row>
    <row r="2" spans="5:43" ht="23.25" hidden="1" customHeight="1">
      <c r="E2" s="745">
        <v>1</v>
      </c>
      <c r="M2" s="43"/>
      <c r="N2" s="43"/>
      <c r="O2" s="43"/>
      <c r="Q2" s="4"/>
      <c r="R2" s="119"/>
      <c r="S2" s="24" t="e">
        <f>INDEX(PT_DIFFERENTIATION_NUM_NTAR,MATCH(A2,PT_DIFFERENTIATION_NTAR_ID,0))</f>
        <v>#N/A</v>
      </c>
      <c r="T2" s="29" t="s">
        <v>128</v>
      </c>
      <c r="U2" s="29"/>
      <c r="V2" s="742"/>
      <c r="W2" s="743"/>
      <c r="X2" s="743"/>
      <c r="Y2" s="743"/>
      <c r="Z2" s="743"/>
      <c r="AA2" s="743"/>
      <c r="AB2" s="744"/>
      <c r="AC2" s="742" t="e">
        <f>INDEX(PT_DIFFERENTIATION_NTAR,MATCH(A2,PT_DIFFERENTIATION_NTAR_ID,0))</f>
        <v>#N/A</v>
      </c>
      <c r="AD2" s="743"/>
      <c r="AE2" s="743"/>
      <c r="AF2" s="743"/>
      <c r="AG2" s="743"/>
      <c r="AH2" s="743"/>
      <c r="AI2" s="743"/>
      <c r="AJ2" s="744"/>
      <c r="AK2" s="4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N2" s="46" t="str">
        <f t="shared" ref="AN2:AN13" si="0">IF(T2="","",T2)</f>
        <v>Наименование тарифа</v>
      </c>
      <c r="AQ2" s="4">
        <v>0</v>
      </c>
    </row>
    <row r="3" spans="5:43" ht="23.25" hidden="1" customHeight="1">
      <c r="E3" s="747"/>
      <c r="F3" s="745">
        <v>1</v>
      </c>
      <c r="M3" s="43"/>
      <c r="N3" s="43"/>
      <c r="O3" s="43"/>
      <c r="P3" s="4"/>
      <c r="Q3" s="118"/>
      <c r="R3" s="119"/>
      <c r="S3" s="24" t="e">
        <f>INDEX(PT_DIFFERENTIATION_NUM_TER,MATCH(B3,PT_DIFFERENTIATION_TER_ID,0))</f>
        <v>#N/A</v>
      </c>
      <c r="T3" s="24" t="s">
        <v>400</v>
      </c>
      <c r="U3" s="29"/>
      <c r="V3" s="742"/>
      <c r="W3" s="743"/>
      <c r="X3" s="743"/>
      <c r="Y3" s="743"/>
      <c r="Z3" s="743"/>
      <c r="AA3" s="743"/>
      <c r="AB3" s="744"/>
      <c r="AC3" s="742" t="e">
        <f>INDEX(PT_DIFFERENTIATION_TER,MATCH(B3,PT_DIFFERENTIATION_TER_ID,0))</f>
        <v>#N/A</v>
      </c>
      <c r="AD3" s="743"/>
      <c r="AE3" s="743"/>
      <c r="AF3" s="743"/>
      <c r="AG3" s="743"/>
      <c r="AH3" s="743"/>
      <c r="AI3" s="743"/>
      <c r="AJ3" s="744"/>
      <c r="AK3" s="428" t="s">
        <v>401</v>
      </c>
      <c r="AN3" s="46" t="str">
        <f t="shared" si="0"/>
        <v>Территория действия тарифа</v>
      </c>
      <c r="AQ3" s="4">
        <v>0</v>
      </c>
    </row>
    <row r="4" spans="5:43" ht="23.25" hidden="1" customHeight="1">
      <c r="E4" s="747"/>
      <c r="F4" s="747"/>
      <c r="G4" s="745">
        <v>1</v>
      </c>
      <c r="M4" s="43"/>
      <c r="N4" s="43"/>
      <c r="O4" s="43"/>
      <c r="P4" s="16"/>
      <c r="Q4" s="118"/>
      <c r="R4" s="119"/>
      <c r="S4" s="24" t="e">
        <f>INDEX(PT_DIFFERENTIATION_NUM_CS,MATCH(C4,PT_DIFFERENTIATION_CS_ID,0))</f>
        <v>#N/A</v>
      </c>
      <c r="T4" s="24" t="s">
        <v>484</v>
      </c>
      <c r="U4" s="29"/>
      <c r="V4" s="742"/>
      <c r="W4" s="743"/>
      <c r="X4" s="743"/>
      <c r="Y4" s="743"/>
      <c r="Z4" s="743"/>
      <c r="AA4" s="743"/>
      <c r="AB4" s="744"/>
      <c r="AC4" s="742" t="e">
        <f>INDEX(PT_DIFFERENTIATION_CS,MATCH(C4,PT_DIFFERENTIATION_CS_ID,0))</f>
        <v>#N/A</v>
      </c>
      <c r="AD4" s="743"/>
      <c r="AE4" s="743"/>
      <c r="AF4" s="743"/>
      <c r="AG4" s="743"/>
      <c r="AH4" s="743"/>
      <c r="AI4" s="743"/>
      <c r="AJ4" s="744"/>
      <c r="AK4" s="428" t="s">
        <v>485</v>
      </c>
      <c r="AN4" s="46" t="str">
        <f t="shared" si="0"/>
        <v>Наименование централизованной системы холодного водоснабжения</v>
      </c>
      <c r="AQ4" s="4">
        <v>0</v>
      </c>
    </row>
    <row r="5" spans="5:43" ht="23.25" hidden="1" customHeight="1">
      <c r="E5" s="747"/>
      <c r="F5" s="747"/>
      <c r="G5" s="747"/>
      <c r="H5" s="747"/>
      <c r="I5" s="745" t="e">
        <f>S4&amp;".1"</f>
        <v>#N/A</v>
      </c>
      <c r="P5" s="748">
        <v>1</v>
      </c>
      <c r="Q5" s="46"/>
      <c r="R5" s="120"/>
      <c r="S5" s="24" t="e">
        <f>$I5</f>
        <v>#N/A</v>
      </c>
      <c r="T5" s="24" t="s">
        <v>486</v>
      </c>
      <c r="U5" s="29"/>
      <c r="V5" s="793"/>
      <c r="W5" s="794"/>
      <c r="X5" s="794"/>
      <c r="Y5" s="794"/>
      <c r="Z5" s="794"/>
      <c r="AA5" s="794"/>
      <c r="AB5" s="795"/>
      <c r="AC5" s="793"/>
      <c r="AD5" s="794"/>
      <c r="AE5" s="794"/>
      <c r="AF5" s="794"/>
      <c r="AG5" s="794"/>
      <c r="AH5" s="794"/>
      <c r="AI5" s="794"/>
      <c r="AJ5" s="795"/>
      <c r="AK5" s="428" t="s">
        <v>487</v>
      </c>
      <c r="AN5" s="46" t="str">
        <f t="shared" si="0"/>
        <v>Наименование признака дифференциации</v>
      </c>
      <c r="AQ5" s="4">
        <v>0</v>
      </c>
    </row>
    <row r="6" spans="5:43" ht="23.25" hidden="1" customHeight="1">
      <c r="E6" s="747"/>
      <c r="F6" s="747"/>
      <c r="G6" s="747"/>
      <c r="H6" s="747"/>
      <c r="I6" s="747"/>
      <c r="J6" s="745" t="e">
        <f>I5&amp;".1"</f>
        <v>#N/A</v>
      </c>
      <c r="L6" s="43" t="s">
        <v>409</v>
      </c>
      <c r="P6" s="748"/>
      <c r="Q6" s="748">
        <v>1</v>
      </c>
      <c r="R6" s="120"/>
      <c r="S6" s="24" t="e">
        <f>$J6</f>
        <v>#N/A</v>
      </c>
      <c r="T6" s="24" t="s">
        <v>410</v>
      </c>
      <c r="U6" s="29"/>
      <c r="V6" s="737"/>
      <c r="W6" s="738"/>
      <c r="X6" s="738"/>
      <c r="Y6" s="738"/>
      <c r="Z6" s="738"/>
      <c r="AA6" s="738"/>
      <c r="AB6" s="739"/>
      <c r="AC6" s="737"/>
      <c r="AD6" s="738"/>
      <c r="AE6" s="738"/>
      <c r="AF6" s="738"/>
      <c r="AG6" s="738"/>
      <c r="AH6" s="738"/>
      <c r="AI6" s="738"/>
      <c r="AJ6" s="739"/>
      <c r="AK6" s="445" t="s">
        <v>488</v>
      </c>
      <c r="AN6" s="46" t="str">
        <f t="shared" si="0"/>
        <v>Группа потребителей</v>
      </c>
      <c r="AQ6" s="4">
        <v>0</v>
      </c>
    </row>
    <row r="7" spans="5:43" ht="23.25" hidden="1" customHeight="1">
      <c r="E7" s="747"/>
      <c r="F7" s="747"/>
      <c r="G7" s="747"/>
      <c r="H7" s="747"/>
      <c r="I7" s="747"/>
      <c r="J7" s="747"/>
      <c r="K7" s="745" t="e">
        <f>J6&amp;".1"</f>
        <v>#N/A</v>
      </c>
      <c r="P7" s="748"/>
      <c r="Q7" s="748"/>
      <c r="R7" s="120">
        <v>1</v>
      </c>
      <c r="S7" s="24" t="e">
        <f>$K7</f>
        <v>#N/A</v>
      </c>
      <c r="T7" s="25"/>
      <c r="U7" s="29"/>
      <c r="V7" s="168"/>
      <c r="W7" s="168"/>
      <c r="X7" s="427"/>
      <c r="Y7" s="749"/>
      <c r="Z7" s="688" t="s">
        <v>66</v>
      </c>
      <c r="AA7" s="749"/>
      <c r="AB7" s="688" t="s">
        <v>66</v>
      </c>
      <c r="AC7" s="168"/>
      <c r="AD7" s="168"/>
      <c r="AE7" s="427"/>
      <c r="AF7" s="749"/>
      <c r="AG7" s="688" t="s">
        <v>66</v>
      </c>
      <c r="AH7" s="750"/>
      <c r="AI7" s="688" t="s">
        <v>66</v>
      </c>
      <c r="AJ7" s="474"/>
      <c r="AK7" s="79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6" t="e">
        <f ca="1">STRCHECKDATE(V8:AJ8)</f>
        <v>#NAME?</v>
      </c>
      <c r="AN7" s="46" t="str">
        <f t="shared" si="0"/>
        <v/>
      </c>
      <c r="AQ7" s="4">
        <v>0</v>
      </c>
    </row>
    <row r="8" spans="5:43" ht="14.25" hidden="1" customHeight="1">
      <c r="E8" s="747"/>
      <c r="F8" s="747"/>
      <c r="G8" s="747"/>
      <c r="H8" s="747"/>
      <c r="I8" s="747"/>
      <c r="J8" s="747"/>
      <c r="K8" s="745"/>
      <c r="P8" s="748"/>
      <c r="Q8" s="748"/>
      <c r="R8" s="120"/>
      <c r="S8" s="31"/>
      <c r="T8" s="29"/>
      <c r="U8" s="29"/>
      <c r="V8" s="110"/>
      <c r="W8" s="110"/>
      <c r="X8" s="111" t="str">
        <f>Y7&amp;"-"&amp;AA7</f>
        <v>-</v>
      </c>
      <c r="Y8" s="707"/>
      <c r="Z8" s="688"/>
      <c r="AA8" s="707"/>
      <c r="AB8" s="688"/>
      <c r="AC8" s="110"/>
      <c r="AD8" s="110"/>
      <c r="AE8" s="111" t="str">
        <f>AF7&amp;"-"&amp;AH7</f>
        <v>-</v>
      </c>
      <c r="AF8" s="707"/>
      <c r="AG8" s="688"/>
      <c r="AH8" s="751"/>
      <c r="AI8" s="688"/>
      <c r="AJ8" s="216"/>
      <c r="AK8" s="796"/>
      <c r="AN8" s="46" t="str">
        <f t="shared" si="0"/>
        <v/>
      </c>
      <c r="AQ8" s="4">
        <v>0</v>
      </c>
    </row>
    <row r="9" spans="5:43" ht="21" hidden="1" customHeight="1">
      <c r="E9" s="747"/>
      <c r="F9" s="747"/>
      <c r="G9" s="747"/>
      <c r="H9" s="747"/>
      <c r="I9" s="747"/>
      <c r="J9" s="745"/>
      <c r="P9" s="748"/>
      <c r="Q9" s="748"/>
      <c r="R9" s="120"/>
      <c r="S9" s="434"/>
      <c r="T9" s="37" t="s">
        <v>489</v>
      </c>
      <c r="U9" s="58"/>
      <c r="V9" s="58"/>
      <c r="W9" s="58"/>
      <c r="X9" s="58"/>
      <c r="Y9" s="58"/>
      <c r="Z9" s="58"/>
      <c r="AA9" s="58"/>
      <c r="AB9" s="58"/>
      <c r="AC9" s="58"/>
      <c r="AD9" s="58"/>
      <c r="AE9" s="58"/>
      <c r="AF9" s="58"/>
      <c r="AG9" s="58"/>
      <c r="AH9" s="58"/>
      <c r="AI9" s="58"/>
      <c r="AJ9" s="58"/>
      <c r="AK9" s="428" t="s">
        <v>490</v>
      </c>
      <c r="AN9" s="46" t="str">
        <f t="shared" si="0"/>
        <v>Добавить значение признака дифференциации</v>
      </c>
      <c r="AQ9" s="4">
        <v>0</v>
      </c>
    </row>
    <row r="10" spans="5:43" ht="21" hidden="1" customHeight="1">
      <c r="E10" s="747"/>
      <c r="F10" s="747"/>
      <c r="G10" s="747"/>
      <c r="H10" s="747"/>
      <c r="I10" s="745"/>
      <c r="P10" s="748"/>
      <c r="Q10" s="46"/>
      <c r="R10" s="120"/>
      <c r="S10" s="434"/>
      <c r="T10" s="37" t="s">
        <v>415</v>
      </c>
      <c r="U10" s="58"/>
      <c r="V10" s="58"/>
      <c r="W10" s="58"/>
      <c r="X10" s="58"/>
      <c r="Y10" s="58"/>
      <c r="Z10" s="58"/>
      <c r="AA10" s="58"/>
      <c r="AB10" s="54"/>
      <c r="AC10" s="58"/>
      <c r="AD10" s="58"/>
      <c r="AE10" s="58"/>
      <c r="AF10" s="58"/>
      <c r="AG10" s="58"/>
      <c r="AH10" s="58"/>
      <c r="AI10" s="54"/>
      <c r="AJ10" s="58"/>
      <c r="AK10" s="475"/>
      <c r="AN10" s="46" t="str">
        <f t="shared" si="0"/>
        <v>Добавить группу потребителей</v>
      </c>
      <c r="AQ10" s="4">
        <v>0</v>
      </c>
    </row>
    <row r="11" spans="5:43" ht="21" hidden="1" customHeight="1">
      <c r="E11" s="747"/>
      <c r="F11" s="747"/>
      <c r="G11" s="747"/>
      <c r="H11" s="745"/>
      <c r="M11" s="43"/>
      <c r="N11" s="43"/>
      <c r="O11" s="43"/>
      <c r="P11" s="4"/>
      <c r="R11" s="119"/>
      <c r="S11" s="434"/>
      <c r="T11" s="37" t="s">
        <v>491</v>
      </c>
      <c r="U11" s="58"/>
      <c r="V11" s="58"/>
      <c r="W11" s="58"/>
      <c r="X11" s="58"/>
      <c r="Y11" s="58"/>
      <c r="Z11" s="58"/>
      <c r="AA11" s="58"/>
      <c r="AB11" s="54"/>
      <c r="AC11" s="58"/>
      <c r="AD11" s="58"/>
      <c r="AE11" s="58"/>
      <c r="AF11" s="58"/>
      <c r="AG11" s="58"/>
      <c r="AH11" s="58"/>
      <c r="AI11" s="54"/>
      <c r="AJ11" s="58"/>
      <c r="AK11" s="102"/>
      <c r="AN11" s="46" t="str">
        <f t="shared" si="0"/>
        <v>Добавить наименование признака дифференциации</v>
      </c>
      <c r="AQ11" s="4">
        <v>0</v>
      </c>
    </row>
    <row r="12" spans="5:43" s="46" customFormat="1" ht="14.25" hidden="1" customHeight="1">
      <c r="E12" s="747"/>
      <c r="F12" s="745"/>
      <c r="M12" s="160"/>
      <c r="N12" s="160"/>
      <c r="Q12" s="446"/>
      <c r="S12" s="449"/>
      <c r="T12" s="160" t="s">
        <v>418</v>
      </c>
      <c r="U12" s="160"/>
      <c r="V12" s="160"/>
      <c r="W12" s="160"/>
      <c r="X12" s="160"/>
      <c r="Y12" s="160"/>
      <c r="Z12" s="160"/>
      <c r="AA12" s="160"/>
      <c r="AB12" s="160"/>
      <c r="AC12" s="160"/>
      <c r="AD12" s="160"/>
      <c r="AE12" s="160"/>
      <c r="AF12" s="160"/>
      <c r="AG12" s="160"/>
      <c r="AH12" s="160"/>
      <c r="AI12" s="160"/>
      <c r="AJ12" s="160"/>
      <c r="AK12" s="160"/>
      <c r="AN12" s="46" t="str">
        <f t="shared" si="0"/>
        <v>Добавить централизованную систему для дифференциации</v>
      </c>
      <c r="AQ12" s="46">
        <v>0</v>
      </c>
    </row>
    <row r="13" spans="5:43" s="46" customFormat="1" ht="14.25" hidden="1" customHeight="1">
      <c r="E13" s="745"/>
      <c r="M13" s="160"/>
      <c r="N13" s="160"/>
      <c r="Q13" s="446"/>
      <c r="S13" s="449"/>
      <c r="T13" s="160" t="s">
        <v>419</v>
      </c>
      <c r="U13" s="160"/>
      <c r="V13" s="160"/>
      <c r="W13" s="160"/>
      <c r="X13" s="160"/>
      <c r="Y13" s="160"/>
      <c r="Z13" s="160"/>
      <c r="AA13" s="160"/>
      <c r="AB13" s="160"/>
      <c r="AC13" s="160"/>
      <c r="AD13" s="160"/>
      <c r="AE13" s="160"/>
      <c r="AF13" s="160"/>
      <c r="AG13" s="160"/>
      <c r="AH13" s="160"/>
      <c r="AI13" s="160"/>
      <c r="AJ13" s="160"/>
      <c r="AK13" s="160"/>
      <c r="AN13" s="46" t="str">
        <f t="shared" si="0"/>
        <v>Добавить территорию для дифференциации</v>
      </c>
      <c r="AQ13" s="46">
        <v>0</v>
      </c>
    </row>
    <row r="14" spans="5:43" ht="14.25" hidden="1" customHeight="1">
      <c r="AQ14" s="4">
        <v>0</v>
      </c>
    </row>
    <row r="15" spans="5:43" ht="14.25" hidden="1" customHeight="1">
      <c r="AC15" s="205"/>
      <c r="AD15" s="205"/>
      <c r="AE15" s="451"/>
      <c r="AF15" s="746"/>
      <c r="AG15" s="745" t="s">
        <v>66</v>
      </c>
      <c r="AH15" s="746"/>
      <c r="AI15" s="745" t="s">
        <v>66</v>
      </c>
      <c r="AQ15" s="4">
        <v>0</v>
      </c>
    </row>
    <row r="16" spans="5:43" ht="14.25" hidden="1" customHeight="1">
      <c r="AC16" s="205"/>
      <c r="AD16" s="205"/>
      <c r="AE16" s="111" t="str">
        <f>AF15&amp;"-"&amp;AH15</f>
        <v>-</v>
      </c>
      <c r="AF16" s="745"/>
      <c r="AG16" s="745"/>
      <c r="AH16" s="745"/>
      <c r="AI16" s="745"/>
      <c r="AQ16" s="4">
        <v>0</v>
      </c>
    </row>
    <row r="17" spans="1:43" ht="14.25" hidden="1" customHeight="1">
      <c r="AQ17" s="4">
        <v>0</v>
      </c>
    </row>
    <row r="18" spans="1:43" s="43" customFormat="1" ht="22.5" hidden="1" customHeight="1">
      <c r="M18" s="167"/>
      <c r="N18" s="167"/>
      <c r="O18" s="261" t="s">
        <v>420</v>
      </c>
      <c r="P18" s="167"/>
      <c r="Q18" s="452"/>
      <c r="R18" s="452"/>
      <c r="Y18" s="261"/>
      <c r="AA18" s="261"/>
      <c r="AF18" s="261"/>
      <c r="AH18" s="261"/>
      <c r="AL18" s="46"/>
      <c r="AM18" s="46"/>
      <c r="AN18" s="46"/>
      <c r="AO18" s="46"/>
      <c r="AP18" s="46"/>
      <c r="AQ18" s="43">
        <v>0</v>
      </c>
    </row>
    <row r="19" spans="1:43" s="43" customFormat="1" ht="14.25" hidden="1" customHeight="1">
      <c r="M19" s="167"/>
      <c r="N19" s="167"/>
      <c r="O19" s="167"/>
      <c r="P19" s="167"/>
      <c r="Q19" s="452"/>
      <c r="R19" s="452"/>
      <c r="AL19" s="46"/>
      <c r="AM19" s="46"/>
      <c r="AN19" s="46"/>
      <c r="AO19" s="46"/>
      <c r="AP19" s="46"/>
      <c r="AQ19" s="43">
        <v>0</v>
      </c>
    </row>
    <row r="20" spans="1:43" s="43" customFormat="1" ht="12" hidden="1" customHeight="1">
      <c r="M20" s="167"/>
      <c r="N20" s="167"/>
      <c r="O20" s="43" t="s">
        <v>421</v>
      </c>
      <c r="P20" s="167"/>
      <c r="Q20" s="476"/>
      <c r="R20" s="476"/>
      <c r="T20" s="43" t="s">
        <v>422</v>
      </c>
      <c r="Z20" s="43" t="s">
        <v>423</v>
      </c>
      <c r="AB20" s="43" t="s">
        <v>424</v>
      </c>
      <c r="AC20" s="43" t="s">
        <v>422</v>
      </c>
      <c r="AG20" s="43" t="s">
        <v>425</v>
      </c>
      <c r="AI20" s="43" t="s">
        <v>424</v>
      </c>
      <c r="AQ20" s="43">
        <v>0</v>
      </c>
    </row>
    <row r="21" spans="1:43" ht="14.25" hidden="1" customHeight="1">
      <c r="O21" s="43"/>
      <c r="AQ21" s="4">
        <v>0</v>
      </c>
    </row>
    <row r="22" spans="1:43" ht="14.25" hidden="1" customHeight="1">
      <c r="O22" s="43"/>
      <c r="AQ22" s="4">
        <v>0</v>
      </c>
    </row>
    <row r="23" spans="1:43" ht="14.65" customHeight="1">
      <c r="Q23" s="19"/>
      <c r="R23" s="19"/>
      <c r="S23" s="6"/>
      <c r="T23" s="6"/>
      <c r="U23" s="6"/>
      <c r="AQ23" s="4">
        <v>14</v>
      </c>
    </row>
    <row r="24" spans="1:43" ht="14.65" customHeight="1">
      <c r="Q24" s="19"/>
      <c r="R24" s="19"/>
      <c r="S24" s="697"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697"/>
      <c r="U24" s="697"/>
      <c r="V24" s="697"/>
      <c r="W24" s="697"/>
      <c r="X24" s="697"/>
      <c r="Y24" s="697"/>
      <c r="Z24" s="697"/>
      <c r="AA24" s="697"/>
      <c r="AB24" s="697"/>
      <c r="AC24" s="697"/>
      <c r="AD24" s="697"/>
      <c r="AE24" s="697"/>
      <c r="AF24" s="697"/>
      <c r="AG24" s="697"/>
      <c r="AH24" s="697"/>
      <c r="AI24" s="40"/>
      <c r="AQ24" s="4">
        <v>14</v>
      </c>
    </row>
    <row r="25" spans="1:43" ht="14.65" customHeight="1">
      <c r="Q25" s="19"/>
      <c r="R25" s="19"/>
      <c r="S25" s="712" t="str">
        <f>IF(org=0,"Не определено",org)</f>
        <v>ООО "Восточная Тепловая компания"</v>
      </c>
      <c r="T25" s="712"/>
      <c r="U25" s="712"/>
      <c r="V25" s="712"/>
      <c r="W25" s="712"/>
      <c r="X25" s="712"/>
      <c r="Y25" s="712"/>
      <c r="Z25" s="712"/>
      <c r="AA25" s="712"/>
      <c r="AB25" s="712"/>
      <c r="AC25" s="712"/>
      <c r="AD25" s="712"/>
      <c r="AE25" s="712"/>
      <c r="AF25" s="712"/>
      <c r="AG25" s="712"/>
      <c r="AH25" s="712"/>
      <c r="AI25" s="40"/>
      <c r="AQ25" s="4">
        <v>14</v>
      </c>
    </row>
    <row r="26" spans="1:43" ht="14.25" hidden="1" customHeight="1">
      <c r="Q26" s="19"/>
      <c r="R26" s="19"/>
      <c r="S26" s="6"/>
      <c r="T26" s="6"/>
      <c r="U26" s="6"/>
      <c r="V26" s="109"/>
      <c r="W26" s="109"/>
      <c r="X26" s="109"/>
      <c r="Y26" s="109"/>
      <c r="Z26" s="109"/>
      <c r="AA26" s="109"/>
      <c r="AB26" s="109"/>
      <c r="AC26" s="109"/>
      <c r="AD26" s="109"/>
      <c r="AE26" s="109"/>
      <c r="AF26" s="109"/>
      <c r="AG26" s="109"/>
      <c r="AH26" s="109"/>
      <c r="AI26" s="109"/>
      <c r="AQ26" s="4">
        <v>0</v>
      </c>
    </row>
    <row r="27" spans="1:43" s="22" customFormat="1" ht="25.5" hidden="1" customHeight="1">
      <c r="A27" s="43"/>
      <c r="B27" s="43"/>
      <c r="C27" s="43"/>
      <c r="D27" s="43"/>
      <c r="E27" s="43"/>
      <c r="F27" s="43"/>
      <c r="G27" s="43"/>
      <c r="H27" s="43"/>
      <c r="I27" s="43"/>
      <c r="J27" s="43"/>
      <c r="K27" s="43"/>
      <c r="L27" s="43"/>
      <c r="M27" s="43"/>
      <c r="N27" s="43"/>
      <c r="O27" s="43"/>
      <c r="S27" s="721" t="s">
        <v>42</v>
      </c>
      <c r="T27" s="721"/>
      <c r="U27" s="453"/>
      <c r="V27" s="741" t="str">
        <f>IF(TITLE_NAME_OR_PR_CHANGE="",IF(TITLE_NAME_OR_PR="","",TITLE_NAME_OR_PR),TITLE_NAME_OR_PR_CHANGE)</f>
        <v/>
      </c>
      <c r="W27" s="741"/>
      <c r="X27" s="741"/>
      <c r="Y27" s="741"/>
      <c r="Z27" s="741"/>
      <c r="AA27" s="741"/>
      <c r="AB27" s="4"/>
      <c r="AC27" s="741" t="str">
        <f>IF(TITLE_NAME_OR_PR_CHANGE="",IF(TITLE_NAME_OR_PR="","",TITLE_NAME_OR_PR),TITLE_NAME_OR_PR_CHANGE)</f>
        <v/>
      </c>
      <c r="AD27" s="741"/>
      <c r="AE27" s="741"/>
      <c r="AF27" s="741"/>
      <c r="AG27" s="741"/>
      <c r="AH27" s="741"/>
      <c r="AI27" s="4"/>
      <c r="AJ27" s="4"/>
      <c r="AK27" s="96"/>
      <c r="AL27" s="46"/>
      <c r="AM27" s="46"/>
      <c r="AN27" s="46"/>
      <c r="AO27" s="46"/>
      <c r="AP27" s="46"/>
      <c r="AQ27" s="22">
        <v>0</v>
      </c>
    </row>
    <row r="28" spans="1:43" s="22" customFormat="1" ht="18.75" hidden="1" customHeight="1">
      <c r="A28" s="43"/>
      <c r="B28" s="43"/>
      <c r="C28" s="43"/>
      <c r="D28" s="43"/>
      <c r="E28" s="43"/>
      <c r="F28" s="43"/>
      <c r="G28" s="43"/>
      <c r="H28" s="43"/>
      <c r="I28" s="43"/>
      <c r="J28" s="43"/>
      <c r="K28" s="43"/>
      <c r="L28" s="43"/>
      <c r="M28" s="43"/>
      <c r="N28" s="43"/>
      <c r="O28" s="43"/>
      <c r="S28" s="721" t="s">
        <v>426</v>
      </c>
      <c r="T28" s="721"/>
      <c r="U28" s="453"/>
      <c r="V28" s="740" t="str">
        <f>IF(TITLE_DATE_PR_CHANGE="",IF(TITLE_DATE_PR="","",TITLE_DATE_PR),TITLE_DATE_PR_CHANGE)</f>
        <v/>
      </c>
      <c r="W28" s="740"/>
      <c r="X28" s="740"/>
      <c r="Y28" s="740"/>
      <c r="Z28" s="740"/>
      <c r="AA28" s="740"/>
      <c r="AB28" s="4"/>
      <c r="AC28" s="740" t="str">
        <f>IF(TITLE_DATE_PR_CHANGE="",IF(TITLE_DATE_PR="","",TITLE_DATE_PR),TITLE_DATE_PR_CHANGE)</f>
        <v/>
      </c>
      <c r="AD28" s="740"/>
      <c r="AE28" s="740"/>
      <c r="AF28" s="740"/>
      <c r="AG28" s="740"/>
      <c r="AH28" s="740"/>
      <c r="AI28" s="4"/>
      <c r="AJ28" s="4"/>
      <c r="AK28" s="96"/>
      <c r="AL28" s="46"/>
      <c r="AM28" s="46"/>
      <c r="AN28" s="46"/>
      <c r="AO28" s="46"/>
      <c r="AP28" s="46"/>
      <c r="AQ28" s="22">
        <v>0</v>
      </c>
    </row>
    <row r="29" spans="1:43" s="22" customFormat="1" ht="18.75" hidden="1" customHeight="1">
      <c r="A29" s="43"/>
      <c r="B29" s="43"/>
      <c r="C29" s="43"/>
      <c r="D29" s="43"/>
      <c r="E29" s="43"/>
      <c r="F29" s="43"/>
      <c r="G29" s="43"/>
      <c r="H29" s="43"/>
      <c r="I29" s="43"/>
      <c r="J29" s="43"/>
      <c r="K29" s="43"/>
      <c r="L29" s="43"/>
      <c r="M29" s="43"/>
      <c r="N29" s="43"/>
      <c r="O29" s="43"/>
      <c r="S29" s="721" t="s">
        <v>427</v>
      </c>
      <c r="T29" s="721"/>
      <c r="U29" s="453"/>
      <c r="V29" s="741" t="str">
        <f>IF(TITLE_NUMBER_PR_CHANGE="",IF(TITLE_NUMBER_PR="","",TITLE_NUMBER_PR),TITLE_NUMBER_PR_CHANGE)</f>
        <v/>
      </c>
      <c r="W29" s="741"/>
      <c r="X29" s="741"/>
      <c r="Y29" s="741"/>
      <c r="Z29" s="741"/>
      <c r="AA29" s="741"/>
      <c r="AB29" s="4"/>
      <c r="AC29" s="741" t="str">
        <f>IF(TITLE_NUMBER_PR_CHANGE="",IF(TITLE_NUMBER_PR="","",TITLE_NUMBER_PR),TITLE_NUMBER_PR_CHANGE)</f>
        <v/>
      </c>
      <c r="AD29" s="741"/>
      <c r="AE29" s="741"/>
      <c r="AF29" s="741"/>
      <c r="AG29" s="741"/>
      <c r="AH29" s="741"/>
      <c r="AI29" s="4"/>
      <c r="AJ29" s="4"/>
      <c r="AK29" s="96"/>
      <c r="AL29" s="46"/>
      <c r="AM29" s="46"/>
      <c r="AN29" s="46"/>
      <c r="AO29" s="46"/>
      <c r="AP29" s="46"/>
      <c r="AQ29" s="22">
        <v>0</v>
      </c>
    </row>
    <row r="30" spans="1:43" s="22" customFormat="1" ht="18.75" hidden="1" customHeight="1">
      <c r="A30" s="43"/>
      <c r="B30" s="43"/>
      <c r="C30" s="43"/>
      <c r="D30" s="43"/>
      <c r="E30" s="43"/>
      <c r="F30" s="43"/>
      <c r="G30" s="43"/>
      <c r="H30" s="43"/>
      <c r="I30" s="43"/>
      <c r="J30" s="43"/>
      <c r="K30" s="43"/>
      <c r="L30" s="43"/>
      <c r="M30" s="43"/>
      <c r="N30" s="43"/>
      <c r="O30" s="43"/>
      <c r="S30" s="721" t="s">
        <v>43</v>
      </c>
      <c r="T30" s="721"/>
      <c r="U30" s="453"/>
      <c r="V30" s="741" t="str">
        <f>IF(TITLE_IST_PUB_CHANGE="",IF(TITLE_IST_PUB="","",TITLE_IST_PUB),TITLE_IST_PUB_CHANGE)</f>
        <v/>
      </c>
      <c r="W30" s="741"/>
      <c r="X30" s="741"/>
      <c r="Y30" s="741"/>
      <c r="Z30" s="741"/>
      <c r="AA30" s="741"/>
      <c r="AB30" s="4"/>
      <c r="AC30" s="741" t="str">
        <f>IF(TITLE_IST_PUB_CHANGE="",IF(TITLE_IST_PUB="","",TITLE_IST_PUB),TITLE_IST_PUB_CHANGE)</f>
        <v/>
      </c>
      <c r="AD30" s="741"/>
      <c r="AE30" s="741"/>
      <c r="AF30" s="741"/>
      <c r="AG30" s="741"/>
      <c r="AH30" s="741"/>
      <c r="AI30" s="4"/>
      <c r="AJ30" s="4"/>
      <c r="AK30" s="96"/>
      <c r="AL30" s="46"/>
      <c r="AM30" s="46"/>
      <c r="AN30" s="46"/>
      <c r="AO30" s="46"/>
      <c r="AP30" s="46"/>
      <c r="AQ30" s="22">
        <v>0</v>
      </c>
    </row>
    <row r="31" spans="1:43" ht="14.25" hidden="1" customHeight="1">
      <c r="Q31" s="19"/>
      <c r="R31" s="19"/>
      <c r="S31" s="6"/>
      <c r="T31" s="6"/>
      <c r="U31" s="6"/>
      <c r="V31" s="109"/>
      <c r="W31" s="109"/>
      <c r="X31" s="109"/>
      <c r="Y31" s="109"/>
      <c r="Z31" s="109"/>
      <c r="AA31" s="109"/>
      <c r="AB31" s="109"/>
      <c r="AC31" s="109"/>
      <c r="AD31" s="109"/>
      <c r="AE31" s="109"/>
      <c r="AF31" s="109"/>
      <c r="AG31" s="109"/>
      <c r="AH31" s="109"/>
      <c r="AI31" s="109"/>
      <c r="AQ31" s="4">
        <v>0</v>
      </c>
    </row>
    <row r="32" spans="1:43" s="22" customFormat="1" ht="18.75" hidden="1" customHeight="1">
      <c r="A32" s="43"/>
      <c r="B32" s="43"/>
      <c r="C32" s="43"/>
      <c r="D32" s="43"/>
      <c r="E32" s="43"/>
      <c r="F32" s="43"/>
      <c r="G32" s="43"/>
      <c r="H32" s="43"/>
      <c r="I32" s="43"/>
      <c r="J32" s="43"/>
      <c r="K32" s="43"/>
      <c r="L32" s="43"/>
      <c r="M32" s="43"/>
      <c r="N32" s="43"/>
      <c r="O32" s="43"/>
      <c r="S32" s="721" t="s">
        <v>428</v>
      </c>
      <c r="T32" s="721"/>
      <c r="U32" s="453"/>
      <c r="V32" s="740" t="str">
        <f>IF(TITLE_DATE_PR_CHANGE="",IF(TITLE_DATE_PR="","",TITLE_DATE_PR),TITLE_DATE_PR_CHANGE)</f>
        <v/>
      </c>
      <c r="W32" s="740"/>
      <c r="X32" s="740"/>
      <c r="Y32" s="740"/>
      <c r="Z32" s="740"/>
      <c r="AA32" s="740"/>
      <c r="AB32" s="4"/>
      <c r="AC32" s="740" t="str">
        <f>IF(TITLE_DATE_PR_CHANGE="",IF(TITLE_DATE_PR="","",TITLE_DATE_PR),TITLE_DATE_PR_CHANGE)</f>
        <v/>
      </c>
      <c r="AD32" s="740"/>
      <c r="AE32" s="740"/>
      <c r="AF32" s="740"/>
      <c r="AG32" s="740"/>
      <c r="AH32" s="740"/>
      <c r="AI32" s="4"/>
      <c r="AJ32" s="4"/>
      <c r="AK32" s="96"/>
      <c r="AL32" s="46"/>
      <c r="AM32" s="46"/>
      <c r="AN32" s="46"/>
      <c r="AO32" s="46"/>
      <c r="AP32" s="46"/>
      <c r="AQ32" s="22">
        <v>0</v>
      </c>
    </row>
    <row r="33" spans="1:43" s="22" customFormat="1" ht="18.75" hidden="1" customHeight="1">
      <c r="A33" s="43"/>
      <c r="B33" s="43"/>
      <c r="C33" s="43"/>
      <c r="D33" s="43"/>
      <c r="E33" s="43"/>
      <c r="F33" s="43"/>
      <c r="G33" s="43"/>
      <c r="H33" s="43"/>
      <c r="I33" s="43"/>
      <c r="J33" s="43"/>
      <c r="K33" s="43"/>
      <c r="L33" s="43"/>
      <c r="M33" s="43"/>
      <c r="N33" s="43"/>
      <c r="O33" s="43"/>
      <c r="S33" s="721" t="s">
        <v>429</v>
      </c>
      <c r="T33" s="721"/>
      <c r="U33" s="453"/>
      <c r="V33" s="741" t="str">
        <f>IF(TITLE_NUMBER_PR_CHANGE="",IF(TITLE_NUMBER_PR="","",TITLE_NUMBER_PR),TITLE_NUMBER_PR_CHANGE)</f>
        <v/>
      </c>
      <c r="W33" s="741"/>
      <c r="X33" s="741"/>
      <c r="Y33" s="741"/>
      <c r="Z33" s="741"/>
      <c r="AA33" s="741"/>
      <c r="AB33" s="4"/>
      <c r="AC33" s="741" t="str">
        <f>IF(TITLE_NUMBER_PR_CHANGE="",IF(TITLE_NUMBER_PR="","",TITLE_NUMBER_PR),TITLE_NUMBER_PR_CHANGE)</f>
        <v/>
      </c>
      <c r="AD33" s="741"/>
      <c r="AE33" s="741"/>
      <c r="AF33" s="741"/>
      <c r="AG33" s="741"/>
      <c r="AH33" s="741"/>
      <c r="AI33" s="4"/>
      <c r="AJ33" s="4"/>
      <c r="AK33" s="96"/>
      <c r="AL33" s="46"/>
      <c r="AM33" s="46"/>
      <c r="AN33" s="46"/>
      <c r="AO33" s="46"/>
      <c r="AP33" s="46"/>
      <c r="AQ33" s="22">
        <v>0</v>
      </c>
    </row>
    <row r="34" spans="1:43" s="22" customFormat="1" ht="1.1499999999999999" customHeight="1">
      <c r="A34" s="43"/>
      <c r="B34" s="43"/>
      <c r="C34" s="43"/>
      <c r="D34" s="43"/>
      <c r="E34" s="43"/>
      <c r="F34" s="43"/>
      <c r="G34" s="43"/>
      <c r="H34" s="43"/>
      <c r="I34" s="43"/>
      <c r="J34" s="43"/>
      <c r="K34" s="43"/>
      <c r="L34" s="43"/>
      <c r="M34" s="43"/>
      <c r="N34" s="43"/>
      <c r="O34" s="43"/>
      <c r="S34" s="4"/>
      <c r="T34" s="4"/>
      <c r="U34" s="4"/>
      <c r="V34" s="4"/>
      <c r="W34" s="4"/>
      <c r="X34" s="4"/>
      <c r="Y34" s="4"/>
      <c r="Z34" s="4"/>
      <c r="AA34" s="4"/>
      <c r="AB34" s="46" t="s">
        <v>430</v>
      </c>
      <c r="AC34" s="4"/>
      <c r="AD34" s="4"/>
      <c r="AE34" s="4"/>
      <c r="AF34" s="4"/>
      <c r="AG34" s="4"/>
      <c r="AH34" s="4"/>
      <c r="AI34" s="46" t="s">
        <v>430</v>
      </c>
      <c r="AL34" s="46"/>
      <c r="AM34" s="46"/>
      <c r="AN34" s="46"/>
      <c r="AO34" s="46"/>
      <c r="AP34" s="46"/>
      <c r="AQ34" s="22">
        <v>1</v>
      </c>
    </row>
    <row r="35" spans="1:43" ht="14.65" customHeight="1">
      <c r="Q35" s="19"/>
      <c r="R35" s="19"/>
      <c r="S35" s="6"/>
      <c r="T35" s="6"/>
      <c r="U35" s="420"/>
      <c r="V35" s="755"/>
      <c r="W35" s="755"/>
      <c r="X35" s="755"/>
      <c r="Y35" s="755"/>
      <c r="Z35" s="755"/>
      <c r="AA35" s="755"/>
      <c r="AB35" s="755"/>
      <c r="AC35" s="755"/>
      <c r="AD35" s="755"/>
      <c r="AE35" s="755"/>
      <c r="AF35" s="755"/>
      <c r="AG35" s="755"/>
      <c r="AH35" s="755"/>
      <c r="AI35" s="755"/>
      <c r="AQ35" s="4">
        <v>14</v>
      </c>
    </row>
    <row r="36" spans="1:43" ht="14.65" customHeight="1">
      <c r="Q36" s="19"/>
      <c r="R36" s="19"/>
      <c r="S36" s="679" t="s">
        <v>303</v>
      </c>
      <c r="T36" s="679"/>
      <c r="U36" s="679"/>
      <c r="V36" s="679"/>
      <c r="W36" s="679"/>
      <c r="X36" s="679"/>
      <c r="Y36" s="679"/>
      <c r="Z36" s="679"/>
      <c r="AA36" s="679"/>
      <c r="AB36" s="679"/>
      <c r="AC36" s="679"/>
      <c r="AD36" s="679"/>
      <c r="AE36" s="679"/>
      <c r="AF36" s="679"/>
      <c r="AG36" s="679"/>
      <c r="AH36" s="679"/>
      <c r="AI36" s="679"/>
      <c r="AJ36" s="679"/>
      <c r="AK36" s="679" t="s">
        <v>304</v>
      </c>
      <c r="AQ36" s="4">
        <v>14</v>
      </c>
    </row>
    <row r="37" spans="1:43" ht="14.65" customHeight="1">
      <c r="Q37" s="19"/>
      <c r="R37" s="19"/>
      <c r="S37" s="722" t="s">
        <v>88</v>
      </c>
      <c r="T37" s="722" t="s">
        <v>431</v>
      </c>
      <c r="U37" s="100"/>
      <c r="V37" s="756" t="s">
        <v>432</v>
      </c>
      <c r="W37" s="757"/>
      <c r="X37" s="757"/>
      <c r="Y37" s="757"/>
      <c r="Z37" s="757"/>
      <c r="AA37" s="758"/>
      <c r="AB37" s="724" t="s">
        <v>433</v>
      </c>
      <c r="AC37" s="756" t="s">
        <v>432</v>
      </c>
      <c r="AD37" s="757"/>
      <c r="AE37" s="757"/>
      <c r="AF37" s="757"/>
      <c r="AG37" s="757"/>
      <c r="AH37" s="758"/>
      <c r="AI37" s="724" t="s">
        <v>434</v>
      </c>
      <c r="AJ37" s="759" t="s">
        <v>435</v>
      </c>
      <c r="AK37" s="679"/>
      <c r="AQ37" s="4">
        <v>14</v>
      </c>
    </row>
    <row r="38" spans="1:43" ht="35.65" customHeight="1">
      <c r="Q38" s="19"/>
      <c r="R38" s="19"/>
      <c r="S38" s="722"/>
      <c r="T38" s="722"/>
      <c r="U38" s="349"/>
      <c r="V38" s="100" t="s">
        <v>492</v>
      </c>
      <c r="W38" s="662" t="s">
        <v>438</v>
      </c>
      <c r="X38" s="661"/>
      <c r="Y38" s="662" t="s">
        <v>439</v>
      </c>
      <c r="Z38" s="666"/>
      <c r="AA38" s="661"/>
      <c r="AB38" s="725"/>
      <c r="AC38" s="100" t="s">
        <v>492</v>
      </c>
      <c r="AD38" s="662" t="s">
        <v>438</v>
      </c>
      <c r="AE38" s="661"/>
      <c r="AF38" s="662" t="s">
        <v>439</v>
      </c>
      <c r="AG38" s="666"/>
      <c r="AH38" s="661"/>
      <c r="AI38" s="725"/>
      <c r="AJ38" s="760"/>
      <c r="AK38" s="679"/>
      <c r="AQ38" s="4">
        <v>34</v>
      </c>
    </row>
    <row r="39" spans="1:43" ht="35.65" customHeight="1">
      <c r="B39" s="43" t="s">
        <v>140</v>
      </c>
      <c r="C39" s="43" t="s">
        <v>141</v>
      </c>
      <c r="D39" s="43" t="s">
        <v>142</v>
      </c>
      <c r="E39" s="43" t="s">
        <v>440</v>
      </c>
      <c r="F39" s="43" t="s">
        <v>441</v>
      </c>
      <c r="G39" s="43" t="s">
        <v>442</v>
      </c>
      <c r="I39" s="43" t="s">
        <v>493</v>
      </c>
      <c r="J39" s="43" t="s">
        <v>445</v>
      </c>
      <c r="K39" s="43" t="s">
        <v>494</v>
      </c>
      <c r="L39" s="43" t="s">
        <v>421</v>
      </c>
      <c r="Q39" s="19"/>
      <c r="R39" s="19"/>
      <c r="S39" s="722"/>
      <c r="T39" s="722"/>
      <c r="U39" s="101"/>
      <c r="V39" s="100" t="s">
        <v>495</v>
      </c>
      <c r="W39" s="27" t="s">
        <v>496</v>
      </c>
      <c r="X39" s="27" t="s">
        <v>497</v>
      </c>
      <c r="Y39" s="27" t="s">
        <v>449</v>
      </c>
      <c r="Z39" s="728" t="s">
        <v>450</v>
      </c>
      <c r="AA39" s="734"/>
      <c r="AB39" s="726"/>
      <c r="AC39" s="100" t="s">
        <v>495</v>
      </c>
      <c r="AD39" s="27" t="s">
        <v>496</v>
      </c>
      <c r="AE39" s="27" t="s">
        <v>497</v>
      </c>
      <c r="AF39" s="27" t="s">
        <v>449</v>
      </c>
      <c r="AG39" s="728" t="s">
        <v>450</v>
      </c>
      <c r="AH39" s="734"/>
      <c r="AI39" s="726"/>
      <c r="AJ39" s="761"/>
      <c r="AK39" s="679"/>
      <c r="AQ39" s="4">
        <v>34</v>
      </c>
    </row>
    <row r="40" spans="1:43" s="117" customFormat="1" ht="0" hidden="1" customHeight="1">
      <c r="A40" s="43"/>
      <c r="B40" s="43"/>
      <c r="C40" s="43"/>
      <c r="D40" s="43"/>
      <c r="E40" s="43"/>
      <c r="F40" s="43"/>
      <c r="G40" s="43"/>
      <c r="H40" s="43"/>
      <c r="I40" s="43"/>
      <c r="J40" s="43"/>
      <c r="K40" s="43"/>
      <c r="L40" s="43"/>
      <c r="M40" s="167"/>
      <c r="N40" s="167"/>
      <c r="O40" s="167"/>
      <c r="P40" s="178"/>
      <c r="Q40" s="422"/>
      <c r="R40" s="424">
        <v>1</v>
      </c>
      <c r="S40" s="425" t="s">
        <v>110</v>
      </c>
      <c r="T40" s="425" t="s">
        <v>111</v>
      </c>
      <c r="U40" s="421" t="str">
        <f ca="1">OFFSET(U40,0,-1)</f>
        <v>2</v>
      </c>
      <c r="V40" s="426">
        <f ca="1">OFFSET(V40,0,-1)+1</f>
        <v>3</v>
      </c>
      <c r="W40" s="426">
        <f ca="1">OFFSET(W40,0,-1)+1</f>
        <v>4</v>
      </c>
      <c r="X40" s="426">
        <f ca="1">OFFSET(X40,0,-1)+1</f>
        <v>5</v>
      </c>
      <c r="Y40" s="426">
        <f ca="1">OFFSET(Y40,0,-1)+1</f>
        <v>6</v>
      </c>
      <c r="Z40" s="754">
        <f ca="1">OFFSET(Z40,0,-1)+1</f>
        <v>7</v>
      </c>
      <c r="AA40" s="754"/>
      <c r="AB40" s="426">
        <f ca="1">OFFSET(AB40,0,-2)+1</f>
        <v>8</v>
      </c>
      <c r="AC40" s="426">
        <f ca="1">OFFSET(AC40,0,-1)+1</f>
        <v>9</v>
      </c>
      <c r="AD40" s="426">
        <f ca="1">OFFSET(AD40,0,-1)+1</f>
        <v>10</v>
      </c>
      <c r="AE40" s="426">
        <f ca="1">OFFSET(AE40,0,-1)+1</f>
        <v>11</v>
      </c>
      <c r="AF40" s="426">
        <f ca="1">OFFSET(AF40,0,-1)+1</f>
        <v>12</v>
      </c>
      <c r="AG40" s="754">
        <f ca="1">OFFSET(AG40,0,-1)+1</f>
        <v>13</v>
      </c>
      <c r="AH40" s="754"/>
      <c r="AI40" s="426">
        <f ca="1">OFFSET(AI40,0,-2)+1</f>
        <v>14</v>
      </c>
      <c r="AJ40" s="421">
        <f ca="1">OFFSET(AJ40,0,-1)</f>
        <v>14</v>
      </c>
      <c r="AK40" s="426">
        <f ca="1">OFFSET(AK40,0,-1)+1</f>
        <v>15</v>
      </c>
      <c r="AL40" s="46"/>
      <c r="AM40" s="46"/>
      <c r="AN40" s="46"/>
      <c r="AO40" s="46"/>
      <c r="AP40" s="46"/>
      <c r="AQ40" s="117">
        <v>0</v>
      </c>
    </row>
    <row r="41" spans="1:43" ht="24" customHeight="1">
      <c r="A41" s="43" t="s">
        <v>234</v>
      </c>
      <c r="E41" s="745">
        <v>1</v>
      </c>
      <c r="M41" s="43"/>
      <c r="N41" s="43"/>
      <c r="O41" s="43"/>
      <c r="Q41" s="4"/>
      <c r="R41" s="119"/>
      <c r="S41" s="24">
        <f>INDEX(PT_DIFFERENTIATION_NUM_NTAR,MATCH(A41,PT_DIFFERENTIATION_NTAR_ID,0))</f>
        <v>0</v>
      </c>
      <c r="T41" s="29" t="s">
        <v>128</v>
      </c>
      <c r="U41" s="29"/>
      <c r="V41" s="742"/>
      <c r="W41" s="743"/>
      <c r="X41" s="743"/>
      <c r="Y41" s="743"/>
      <c r="Z41" s="743"/>
      <c r="AA41" s="743"/>
      <c r="AB41" s="744"/>
      <c r="AC41" s="742" t="str">
        <f>INDEX(PT_DIFFERENTIATION_NTAR,MATCH(A41,PT_DIFFERENTIATION_NTAR_ID,0))</f>
        <v/>
      </c>
      <c r="AD41" s="743"/>
      <c r="AE41" s="743"/>
      <c r="AF41" s="743"/>
      <c r="AG41" s="743"/>
      <c r="AH41" s="743"/>
      <c r="AI41" s="743"/>
      <c r="AJ41" s="744"/>
      <c r="AK41" s="4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N41" s="46" t="str">
        <f t="shared" ref="AN41:AN53" si="1">IF(T41="","",T41)</f>
        <v>Наименование тарифа</v>
      </c>
      <c r="AQ41" s="4">
        <v>23</v>
      </c>
    </row>
    <row r="42" spans="1:43" ht="24" customHeight="1">
      <c r="A42" s="43" t="s">
        <v>234</v>
      </c>
      <c r="B42" s="43" t="s">
        <v>235</v>
      </c>
      <c r="E42" s="747"/>
      <c r="F42" s="745">
        <v>1</v>
      </c>
      <c r="M42" s="43"/>
      <c r="N42" s="43"/>
      <c r="O42" s="43"/>
      <c r="P42" s="4"/>
      <c r="Q42" s="118"/>
      <c r="R42" s="119"/>
      <c r="S42" s="24" t="str">
        <f>INDEX(PT_DIFFERENTIATION_NUM_TER,MATCH(B42,PT_DIFFERENTIATION_TER_ID,0))</f>
        <v>.</v>
      </c>
      <c r="T42" s="24" t="s">
        <v>400</v>
      </c>
      <c r="U42" s="29"/>
      <c r="V42" s="742"/>
      <c r="W42" s="743"/>
      <c r="X42" s="743"/>
      <c r="Y42" s="743"/>
      <c r="Z42" s="743"/>
      <c r="AA42" s="743"/>
      <c r="AB42" s="744"/>
      <c r="AC42" s="742" t="str">
        <f>INDEX(PT_DIFFERENTIATION_TER,MATCH(B42,PT_DIFFERENTIATION_TER_ID,0))</f>
        <v/>
      </c>
      <c r="AD42" s="743"/>
      <c r="AE42" s="743"/>
      <c r="AF42" s="743"/>
      <c r="AG42" s="743"/>
      <c r="AH42" s="743"/>
      <c r="AI42" s="743"/>
      <c r="AJ42" s="744"/>
      <c r="AK42" s="428" t="s">
        <v>401</v>
      </c>
      <c r="AN42" s="46" t="str">
        <f t="shared" si="1"/>
        <v>Территория действия тарифа</v>
      </c>
      <c r="AQ42" s="4">
        <v>23</v>
      </c>
    </row>
    <row r="43" spans="1:43" ht="24" customHeight="1">
      <c r="A43" s="43" t="s">
        <v>234</v>
      </c>
      <c r="B43" s="43" t="s">
        <v>235</v>
      </c>
      <c r="C43" s="43" t="s">
        <v>236</v>
      </c>
      <c r="E43" s="747"/>
      <c r="F43" s="747"/>
      <c r="G43" s="745">
        <v>1</v>
      </c>
      <c r="M43" s="43"/>
      <c r="N43" s="43"/>
      <c r="O43" s="43"/>
      <c r="P43" s="16"/>
      <c r="Q43" s="118"/>
      <c r="R43" s="119"/>
      <c r="S43" s="24" t="str">
        <f>INDEX(PT_DIFFERENTIATION_NUM_CS,MATCH(C43,PT_DIFFERENTIATION_CS_ID,0))</f>
        <v>..</v>
      </c>
      <c r="T43" s="24" t="s">
        <v>484</v>
      </c>
      <c r="U43" s="29"/>
      <c r="V43" s="742"/>
      <c r="W43" s="743"/>
      <c r="X43" s="743"/>
      <c r="Y43" s="743"/>
      <c r="Z43" s="743"/>
      <c r="AA43" s="743"/>
      <c r="AB43" s="744"/>
      <c r="AC43" s="742" t="str">
        <f>INDEX(PT_DIFFERENTIATION_CS,MATCH(C43,PT_DIFFERENTIATION_CS_ID,0))</f>
        <v/>
      </c>
      <c r="AD43" s="743"/>
      <c r="AE43" s="743"/>
      <c r="AF43" s="743"/>
      <c r="AG43" s="743"/>
      <c r="AH43" s="743"/>
      <c r="AI43" s="743"/>
      <c r="AJ43" s="744"/>
      <c r="AK43" s="428" t="s">
        <v>485</v>
      </c>
      <c r="AN43" s="46" t="str">
        <f t="shared" si="1"/>
        <v>Наименование централизованной системы холодного водоснабжения</v>
      </c>
      <c r="AQ43" s="4">
        <v>23</v>
      </c>
    </row>
    <row r="44" spans="1:43" ht="24" customHeight="1">
      <c r="A44" s="43" t="s">
        <v>234</v>
      </c>
      <c r="B44" s="43" t="s">
        <v>235</v>
      </c>
      <c r="C44" s="43" t="s">
        <v>236</v>
      </c>
      <c r="D44" s="43" t="s">
        <v>499</v>
      </c>
      <c r="E44" s="747"/>
      <c r="F44" s="747"/>
      <c r="G44" s="747"/>
      <c r="H44" s="747"/>
      <c r="I44" s="745" t="str">
        <f>S43&amp;".1"</f>
        <v>...1</v>
      </c>
      <c r="P44" s="748">
        <v>1</v>
      </c>
      <c r="Q44" s="46"/>
      <c r="R44" s="120"/>
      <c r="S44" s="24" t="str">
        <f>$I44</f>
        <v>...1</v>
      </c>
      <c r="T44" s="24" t="s">
        <v>486</v>
      </c>
      <c r="U44" s="29"/>
      <c r="V44" s="793"/>
      <c r="W44" s="794"/>
      <c r="X44" s="794"/>
      <c r="Y44" s="794"/>
      <c r="Z44" s="794"/>
      <c r="AA44" s="794"/>
      <c r="AB44" s="795"/>
      <c r="AC44" s="793"/>
      <c r="AD44" s="794"/>
      <c r="AE44" s="794"/>
      <c r="AF44" s="794"/>
      <c r="AG44" s="794"/>
      <c r="AH44" s="794"/>
      <c r="AI44" s="794"/>
      <c r="AJ44" s="795"/>
      <c r="AK44" s="428" t="s">
        <v>487</v>
      </c>
      <c r="AN44" s="46" t="str">
        <f t="shared" si="1"/>
        <v>Наименование признака дифференциации</v>
      </c>
      <c r="AQ44" s="4">
        <v>23</v>
      </c>
    </row>
    <row r="45" spans="1:43" ht="24" customHeight="1">
      <c r="A45" s="43" t="s">
        <v>234</v>
      </c>
      <c r="B45" s="43" t="s">
        <v>235</v>
      </c>
      <c r="C45" s="43" t="s">
        <v>236</v>
      </c>
      <c r="D45" s="43" t="s">
        <v>499</v>
      </c>
      <c r="E45" s="747"/>
      <c r="F45" s="747"/>
      <c r="G45" s="747"/>
      <c r="H45" s="747"/>
      <c r="I45" s="747"/>
      <c r="J45" s="745" t="str">
        <f>I44&amp;".1"</f>
        <v>...1.1</v>
      </c>
      <c r="L45" s="43" t="s">
        <v>409</v>
      </c>
      <c r="P45" s="748"/>
      <c r="Q45" s="748">
        <v>1</v>
      </c>
      <c r="R45" s="120"/>
      <c r="S45" s="24" t="str">
        <f>$J45</f>
        <v>...1.1</v>
      </c>
      <c r="T45" s="24" t="s">
        <v>410</v>
      </c>
      <c r="U45" s="29"/>
      <c r="V45" s="737"/>
      <c r="W45" s="738"/>
      <c r="X45" s="738"/>
      <c r="Y45" s="738"/>
      <c r="Z45" s="738"/>
      <c r="AA45" s="738"/>
      <c r="AB45" s="739"/>
      <c r="AC45" s="737"/>
      <c r="AD45" s="738"/>
      <c r="AE45" s="738"/>
      <c r="AF45" s="738"/>
      <c r="AG45" s="738"/>
      <c r="AH45" s="738"/>
      <c r="AI45" s="738"/>
      <c r="AJ45" s="739"/>
      <c r="AK45" s="445" t="s">
        <v>488</v>
      </c>
      <c r="AN45" s="46" t="str">
        <f t="shared" si="1"/>
        <v>Группа потребителей</v>
      </c>
      <c r="AQ45" s="4">
        <v>23</v>
      </c>
    </row>
    <row r="46" spans="1:43" ht="24" customHeight="1">
      <c r="A46" s="43" t="s">
        <v>234</v>
      </c>
      <c r="B46" s="43" t="s">
        <v>235</v>
      </c>
      <c r="C46" s="43" t="s">
        <v>236</v>
      </c>
      <c r="D46" s="43" t="s">
        <v>499</v>
      </c>
      <c r="E46" s="747"/>
      <c r="F46" s="747"/>
      <c r="G46" s="747"/>
      <c r="H46" s="747"/>
      <c r="I46" s="747"/>
      <c r="J46" s="747"/>
      <c r="K46" s="745" t="str">
        <f>J45&amp;".1"</f>
        <v>...1.1.1</v>
      </c>
      <c r="P46" s="748"/>
      <c r="Q46" s="748"/>
      <c r="R46" s="120">
        <v>1</v>
      </c>
      <c r="S46" s="24" t="str">
        <f>$K46</f>
        <v>...1.1.1</v>
      </c>
      <c r="T46" s="25"/>
      <c r="U46" s="29"/>
      <c r="V46" s="168"/>
      <c r="W46" s="168"/>
      <c r="X46" s="427"/>
      <c r="Y46" s="749"/>
      <c r="Z46" s="688" t="s">
        <v>66</v>
      </c>
      <c r="AA46" s="749"/>
      <c r="AB46" s="688" t="s">
        <v>66</v>
      </c>
      <c r="AC46" s="168"/>
      <c r="AD46" s="168"/>
      <c r="AE46" s="427"/>
      <c r="AF46" s="749"/>
      <c r="AG46" s="688" t="s">
        <v>66</v>
      </c>
      <c r="AH46" s="750"/>
      <c r="AI46" s="688" t="s">
        <v>66</v>
      </c>
      <c r="AJ46" s="474"/>
      <c r="AK46" s="79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6" t="e">
        <f ca="1">STRCHECKDATE(V47:AJ47)</f>
        <v>#NAME?</v>
      </c>
      <c r="AN46" s="46" t="str">
        <f t="shared" si="1"/>
        <v/>
      </c>
      <c r="AQ46" s="4">
        <v>23</v>
      </c>
    </row>
    <row r="47" spans="1:43" ht="0" hidden="1" customHeight="1">
      <c r="A47" s="43" t="s">
        <v>234</v>
      </c>
      <c r="B47" s="43" t="s">
        <v>235</v>
      </c>
      <c r="C47" s="43" t="s">
        <v>236</v>
      </c>
      <c r="D47" s="43" t="s">
        <v>499</v>
      </c>
      <c r="E47" s="747"/>
      <c r="F47" s="747"/>
      <c r="G47" s="747"/>
      <c r="H47" s="747"/>
      <c r="I47" s="747"/>
      <c r="J47" s="747"/>
      <c r="K47" s="745"/>
      <c r="P47" s="748"/>
      <c r="Q47" s="748"/>
      <c r="R47" s="120"/>
      <c r="S47" s="31"/>
      <c r="T47" s="29"/>
      <c r="U47" s="29"/>
      <c r="V47" s="110"/>
      <c r="W47" s="110"/>
      <c r="X47" s="111" t="str">
        <f>Y46&amp;"-"&amp;AA46</f>
        <v>-</v>
      </c>
      <c r="Y47" s="707"/>
      <c r="Z47" s="688"/>
      <c r="AA47" s="707"/>
      <c r="AB47" s="688"/>
      <c r="AC47" s="110"/>
      <c r="AD47" s="110"/>
      <c r="AE47" s="111" t="str">
        <f>AF46&amp;"-"&amp;AH46</f>
        <v>-</v>
      </c>
      <c r="AF47" s="707"/>
      <c r="AG47" s="688"/>
      <c r="AH47" s="751"/>
      <c r="AI47" s="688"/>
      <c r="AJ47" s="216"/>
      <c r="AK47" s="796"/>
      <c r="AN47" s="46" t="str">
        <f t="shared" si="1"/>
        <v/>
      </c>
      <c r="AQ47" s="4">
        <v>0</v>
      </c>
    </row>
    <row r="48" spans="1:43" ht="21" customHeight="1">
      <c r="A48" s="43" t="s">
        <v>234</v>
      </c>
      <c r="B48" s="43" t="s">
        <v>235</v>
      </c>
      <c r="C48" s="43" t="s">
        <v>236</v>
      </c>
      <c r="D48" s="43" t="s">
        <v>499</v>
      </c>
      <c r="E48" s="747"/>
      <c r="F48" s="747"/>
      <c r="G48" s="747"/>
      <c r="H48" s="747"/>
      <c r="I48" s="747"/>
      <c r="J48" s="745"/>
      <c r="P48" s="748"/>
      <c r="Q48" s="748"/>
      <c r="R48" s="120"/>
      <c r="S48" s="434"/>
      <c r="T48" s="37" t="s">
        <v>489</v>
      </c>
      <c r="U48" s="58"/>
      <c r="V48" s="58"/>
      <c r="W48" s="58"/>
      <c r="X48" s="58"/>
      <c r="Y48" s="58"/>
      <c r="Z48" s="58"/>
      <c r="AA48" s="58"/>
      <c r="AB48" s="58"/>
      <c r="AC48" s="58"/>
      <c r="AD48" s="58"/>
      <c r="AE48" s="58"/>
      <c r="AF48" s="58"/>
      <c r="AG48" s="58"/>
      <c r="AH48" s="58"/>
      <c r="AI48" s="58"/>
      <c r="AJ48" s="58"/>
      <c r="AK48" s="428" t="s">
        <v>490</v>
      </c>
      <c r="AN48" s="46" t="str">
        <f t="shared" si="1"/>
        <v>Добавить значение признака дифференциации</v>
      </c>
      <c r="AQ48" s="4">
        <v>20</v>
      </c>
    </row>
    <row r="49" spans="1:43" ht="21.95" customHeight="1">
      <c r="A49" s="43" t="s">
        <v>234</v>
      </c>
      <c r="B49" s="43" t="s">
        <v>235</v>
      </c>
      <c r="C49" s="43" t="s">
        <v>236</v>
      </c>
      <c r="D49" s="43" t="s">
        <v>499</v>
      </c>
      <c r="E49" s="747"/>
      <c r="F49" s="747"/>
      <c r="G49" s="747"/>
      <c r="H49" s="747"/>
      <c r="I49" s="745"/>
      <c r="P49" s="748"/>
      <c r="Q49" s="46"/>
      <c r="R49" s="120"/>
      <c r="S49" s="434"/>
      <c r="T49" s="37" t="s">
        <v>415</v>
      </c>
      <c r="U49" s="58"/>
      <c r="V49" s="58"/>
      <c r="W49" s="58"/>
      <c r="X49" s="58"/>
      <c r="Y49" s="58"/>
      <c r="Z49" s="58"/>
      <c r="AA49" s="58"/>
      <c r="AB49" s="54"/>
      <c r="AC49" s="58"/>
      <c r="AD49" s="58"/>
      <c r="AE49" s="58"/>
      <c r="AF49" s="58"/>
      <c r="AG49" s="58"/>
      <c r="AH49" s="58"/>
      <c r="AI49" s="54"/>
      <c r="AJ49" s="58"/>
      <c r="AK49" s="475"/>
      <c r="AN49" s="46" t="str">
        <f t="shared" si="1"/>
        <v>Добавить группу потребителей</v>
      </c>
      <c r="AQ49" s="4">
        <v>21</v>
      </c>
    </row>
    <row r="50" spans="1:43" ht="21.95" customHeight="1">
      <c r="A50" s="43" t="s">
        <v>234</v>
      </c>
      <c r="B50" s="43" t="s">
        <v>235</v>
      </c>
      <c r="C50" s="43" t="s">
        <v>236</v>
      </c>
      <c r="D50" s="43" t="s">
        <v>499</v>
      </c>
      <c r="E50" s="747"/>
      <c r="F50" s="747"/>
      <c r="G50" s="747"/>
      <c r="H50" s="745"/>
      <c r="M50" s="43"/>
      <c r="N50" s="43"/>
      <c r="O50" s="43"/>
      <c r="P50" s="4"/>
      <c r="R50" s="119"/>
      <c r="S50" s="434"/>
      <c r="T50" s="37" t="s">
        <v>491</v>
      </c>
      <c r="U50" s="58"/>
      <c r="V50" s="58"/>
      <c r="W50" s="58"/>
      <c r="X50" s="58"/>
      <c r="Y50" s="58"/>
      <c r="Z50" s="58"/>
      <c r="AA50" s="58"/>
      <c r="AB50" s="54"/>
      <c r="AC50" s="58"/>
      <c r="AD50" s="58"/>
      <c r="AE50" s="58"/>
      <c r="AF50" s="58"/>
      <c r="AG50" s="58"/>
      <c r="AH50" s="58"/>
      <c r="AI50" s="54"/>
      <c r="AJ50" s="58"/>
      <c r="AK50" s="102"/>
      <c r="AN50" s="46" t="str">
        <f t="shared" si="1"/>
        <v>Добавить наименование признака дифференциации</v>
      </c>
      <c r="AQ50" s="4">
        <v>21</v>
      </c>
    </row>
    <row r="51" spans="1:43" s="46" customFormat="1" ht="0" hidden="1" customHeight="1">
      <c r="A51" s="46" t="s">
        <v>234</v>
      </c>
      <c r="B51" s="46" t="s">
        <v>235</v>
      </c>
      <c r="E51" s="747"/>
      <c r="F51" s="745"/>
      <c r="M51" s="160"/>
      <c r="N51" s="160"/>
      <c r="Q51" s="446"/>
      <c r="S51" s="449"/>
      <c r="T51" s="160" t="s">
        <v>418</v>
      </c>
      <c r="U51" s="160"/>
      <c r="V51" s="160"/>
      <c r="W51" s="160"/>
      <c r="X51" s="160"/>
      <c r="Y51" s="160"/>
      <c r="Z51" s="160"/>
      <c r="AA51" s="160"/>
      <c r="AB51" s="160"/>
      <c r="AC51" s="160"/>
      <c r="AD51" s="160"/>
      <c r="AE51" s="160"/>
      <c r="AF51" s="160"/>
      <c r="AG51" s="160"/>
      <c r="AH51" s="160"/>
      <c r="AI51" s="160"/>
      <c r="AJ51" s="160"/>
      <c r="AK51" s="160"/>
      <c r="AN51" s="46" t="str">
        <f t="shared" si="1"/>
        <v>Добавить централизованную систему для дифференциации</v>
      </c>
      <c r="AQ51" s="46">
        <v>0</v>
      </c>
    </row>
    <row r="52" spans="1:43" s="46" customFormat="1" ht="0" hidden="1" customHeight="1">
      <c r="A52" s="46" t="s">
        <v>234</v>
      </c>
      <c r="E52" s="745"/>
      <c r="M52" s="160"/>
      <c r="N52" s="160"/>
      <c r="Q52" s="446"/>
      <c r="S52" s="449"/>
      <c r="T52" s="160" t="s">
        <v>419</v>
      </c>
      <c r="U52" s="160"/>
      <c r="V52" s="160"/>
      <c r="W52" s="160"/>
      <c r="X52" s="160"/>
      <c r="Y52" s="160"/>
      <c r="Z52" s="160"/>
      <c r="AA52" s="160"/>
      <c r="AB52" s="160"/>
      <c r="AC52" s="160"/>
      <c r="AD52" s="160"/>
      <c r="AE52" s="160"/>
      <c r="AF52" s="160"/>
      <c r="AG52" s="160"/>
      <c r="AH52" s="160"/>
      <c r="AI52" s="160"/>
      <c r="AJ52" s="160"/>
      <c r="AK52" s="160"/>
      <c r="AN52" s="46" t="str">
        <f t="shared" si="1"/>
        <v>Добавить территорию для дифференциации</v>
      </c>
      <c r="AQ52" s="46">
        <v>0</v>
      </c>
    </row>
    <row r="53" spans="1:43" s="46" customFormat="1" ht="0" hidden="1" customHeight="1">
      <c r="M53" s="160"/>
      <c r="N53" s="160"/>
      <c r="Q53" s="446"/>
      <c r="S53" s="449"/>
      <c r="T53" s="160" t="s">
        <v>451</v>
      </c>
      <c r="U53" s="160"/>
      <c r="V53" s="160"/>
      <c r="W53" s="160"/>
      <c r="X53" s="160"/>
      <c r="Y53" s="160"/>
      <c r="Z53" s="160"/>
      <c r="AA53" s="160"/>
      <c r="AB53" s="160"/>
      <c r="AC53" s="160"/>
      <c r="AD53" s="160"/>
      <c r="AE53" s="160"/>
      <c r="AF53" s="160"/>
      <c r="AG53" s="160"/>
      <c r="AH53" s="160"/>
      <c r="AI53" s="160"/>
      <c r="AJ53" s="160"/>
      <c r="AK53" s="160"/>
      <c r="AN53" s="46" t="str">
        <f t="shared" si="1"/>
        <v>Добавить наименование тарифа</v>
      </c>
      <c r="AQ53" s="46">
        <v>0</v>
      </c>
    </row>
    <row r="54" spans="1:43" ht="11.45" customHeight="1">
      <c r="M54" s="43"/>
      <c r="N54" s="43"/>
      <c r="O54" s="43"/>
      <c r="P54" s="4"/>
      <c r="Q54" s="4"/>
      <c r="R54" s="4"/>
      <c r="AL54" s="4"/>
      <c r="AM54" s="4"/>
      <c r="AN54" s="4"/>
      <c r="AO54" s="4"/>
      <c r="AP54" s="4"/>
      <c r="AQ54" s="4">
        <v>11</v>
      </c>
    </row>
    <row r="55" spans="1:43" ht="14.65" customHeight="1">
      <c r="O55" s="43"/>
      <c r="T55" s="665"/>
      <c r="U55" s="665"/>
      <c r="V55" s="665"/>
      <c r="W55" s="665"/>
      <c r="X55" s="665"/>
      <c r="Y55" s="665"/>
      <c r="Z55" s="665"/>
      <c r="AA55" s="665"/>
      <c r="AB55" s="665"/>
      <c r="AC55" s="665"/>
      <c r="AD55" s="665"/>
      <c r="AE55" s="665"/>
      <c r="AF55" s="665"/>
      <c r="AG55" s="665"/>
      <c r="AH55" s="665"/>
      <c r="AI55" s="665"/>
      <c r="AJ55" s="665"/>
      <c r="AK55" s="665"/>
      <c r="AQ55" s="4">
        <v>14</v>
      </c>
    </row>
    <row r="56" spans="1:43" ht="14.65" customHeight="1">
      <c r="O56" s="43"/>
      <c r="AQ56" s="4">
        <v>14</v>
      </c>
    </row>
    <row r="57" spans="1:43" ht="14.65" customHeight="1">
      <c r="O57" s="43"/>
      <c r="T57" s="665"/>
      <c r="U57" s="665"/>
      <c r="V57" s="665"/>
      <c r="W57" s="665"/>
      <c r="X57" s="665"/>
      <c r="Y57" s="665"/>
      <c r="Z57" s="665"/>
      <c r="AA57" s="665"/>
      <c r="AB57" s="665"/>
      <c r="AC57" s="665"/>
      <c r="AD57" s="665"/>
      <c r="AE57" s="665"/>
      <c r="AF57" s="665"/>
      <c r="AG57" s="665"/>
      <c r="AH57" s="665"/>
      <c r="AI57" s="665"/>
      <c r="AJ57" s="665"/>
      <c r="AK57" s="665"/>
      <c r="AQ57" s="4">
        <v>14</v>
      </c>
    </row>
    <row r="58" spans="1:43" ht="22.5" hidden="1" customHeight="1">
      <c r="A58" s="43" t="s">
        <v>82</v>
      </c>
      <c r="B58" s="43">
        <v>0</v>
      </c>
      <c r="C58" s="43">
        <v>0</v>
      </c>
      <c r="D58" s="43">
        <v>0</v>
      </c>
      <c r="E58" s="43">
        <v>0</v>
      </c>
      <c r="F58" s="43">
        <v>0</v>
      </c>
      <c r="G58" s="43">
        <v>0</v>
      </c>
      <c r="H58" s="43">
        <v>0</v>
      </c>
      <c r="I58" s="43">
        <v>0</v>
      </c>
      <c r="J58" s="43">
        <v>0</v>
      </c>
      <c r="K58" s="43">
        <v>0</v>
      </c>
      <c r="L58" s="43">
        <v>0</v>
      </c>
      <c r="M58" s="167">
        <v>0</v>
      </c>
      <c r="N58" s="167">
        <v>0</v>
      </c>
      <c r="O58" s="167">
        <v>0</v>
      </c>
      <c r="P58" s="23">
        <v>3</v>
      </c>
      <c r="Q58" s="20">
        <v>3</v>
      </c>
      <c r="R58" s="20">
        <v>3</v>
      </c>
      <c r="S58" s="4">
        <v>12</v>
      </c>
      <c r="T58" s="4">
        <v>35</v>
      </c>
      <c r="U58" s="4">
        <v>0</v>
      </c>
      <c r="V58" s="4">
        <v>0</v>
      </c>
      <c r="W58" s="4">
        <v>0</v>
      </c>
      <c r="X58" s="4">
        <v>0</v>
      </c>
      <c r="Y58" s="4">
        <v>0</v>
      </c>
      <c r="Z58" s="4">
        <v>0</v>
      </c>
      <c r="AA58" s="4">
        <v>0</v>
      </c>
      <c r="AB58" s="4">
        <v>0</v>
      </c>
      <c r="AC58" s="4">
        <v>24</v>
      </c>
      <c r="AD58" s="4">
        <v>24</v>
      </c>
      <c r="AE58" s="4">
        <v>24</v>
      </c>
      <c r="AF58" s="4">
        <v>11</v>
      </c>
      <c r="AG58" s="4">
        <v>3</v>
      </c>
      <c r="AH58" s="4">
        <v>11</v>
      </c>
      <c r="AI58" s="4">
        <v>0</v>
      </c>
      <c r="AJ58" s="4">
        <v>4</v>
      </c>
      <c r="AK58" s="4">
        <v>115</v>
      </c>
      <c r="AL58" s="46">
        <v>10</v>
      </c>
      <c r="AM58" s="46">
        <v>10</v>
      </c>
      <c r="AN58" s="46">
        <v>10</v>
      </c>
      <c r="AO58" s="46">
        <v>10</v>
      </c>
      <c r="AP58" s="46">
        <v>10</v>
      </c>
      <c r="AQ58" s="4">
        <v>23</v>
      </c>
    </row>
  </sheetData>
  <sheetProtection formatColumns="0" formatRows="0" insertRows="0" deleteColumns="0" deleteRows="0" sort="0" autoFilter="0"/>
  <mergeCells count="101">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AK7:AK8"/>
    <mergeCell ref="AF15:AF16"/>
    <mergeCell ref="AG15:AG16"/>
    <mergeCell ref="AH15:AH16"/>
    <mergeCell ref="AI15:AI16"/>
    <mergeCell ref="Z46:Z47"/>
    <mergeCell ref="AC45:AJ45"/>
    <mergeCell ref="AA46:AA47"/>
    <mergeCell ref="AB46:AB47"/>
    <mergeCell ref="AF46:AF47"/>
    <mergeCell ref="AK46:AK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s>
  <dataValidations count="8">
    <dataValidation allowBlank="1" sqref="S131116:AK131122 S196652:AK196658 S262188:AK262194 S327724:AK327730 S393260:AK393266 S458796:AK458802 S524332:AK524338 S589868:AK589874 S655404:AK655410 S720940:AK720946 S786476:AK786482 S852012:AK852018 S917548:AK917554 S983084:AK983090 S65580:AK65586" xr:uid="{00000000-0002-0000-1500-000000000000}"/>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xr:uid="{00000000-0002-0000-1500-000001000000}">
      <formula1>kind_of_cons</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xr:uid="{00000000-0002-0000-1500-000002000000}"/>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xr:uid="{00000000-0002-0000-1500-000003000000}">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xr:uid="{00000000-0002-0000-1500-000004000000}">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xr:uid="{00000000-0002-0000-1500-000005000000}">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xr:uid="{00000000-0002-0000-1500-000006000000}"/>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xr:uid="{00000000-0002-0000-1500-00000700000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881502-C4F3-92B3-10BA-A400FABE3021}">
  <sheetPr>
    <tabColor theme="6" tint="0.39997558519241921"/>
  </sheetPr>
  <dimension ref="A1:AQ58"/>
  <sheetViews>
    <sheetView showGridLines="0" zoomScale="90" workbookViewId="0">
      <pane xSplit="28" ySplit="40" topLeftCell="AC41" activePane="bottomRight" state="frozen"/>
      <selection pane="topRight" activeCell="AC1" sqref="AC1"/>
      <selection pane="bottomLeft" activeCell="A41" sqref="A41"/>
      <selection pane="bottomRight"/>
    </sheetView>
  </sheetViews>
  <sheetFormatPr defaultColWidth="10.5703125" defaultRowHeight="14.25" customHeight="1"/>
  <cols>
    <col min="1" max="1" width="10.5703125" style="43" hidden="1"/>
    <col min="2" max="2" width="11" style="43" hidden="1" customWidth="1"/>
    <col min="3" max="3" width="10.5703125" style="43" hidden="1"/>
    <col min="4" max="4" width="11.85546875" style="43" hidden="1" customWidth="1"/>
    <col min="5" max="5" width="10" style="43" hidden="1" customWidth="1"/>
    <col min="6" max="6" width="8.7109375" style="43" hidden="1" customWidth="1"/>
    <col min="7" max="7" width="7.5703125" style="43" hidden="1" customWidth="1"/>
    <col min="8" max="8" width="11.42578125" style="43" hidden="1" customWidth="1"/>
    <col min="9" max="9" width="14.140625" style="43" hidden="1" customWidth="1"/>
    <col min="10" max="10" width="9.85546875" style="43" hidden="1" customWidth="1"/>
    <col min="11" max="11" width="14.7109375" style="43" hidden="1" customWidth="1"/>
    <col min="12" max="12" width="19.140625" style="43" hidden="1" customWidth="1"/>
    <col min="13" max="14" width="12.28515625" style="167" hidden="1" customWidth="1"/>
    <col min="15" max="15" width="23.42578125" style="167" hidden="1" customWidth="1"/>
    <col min="16" max="16" width="3" style="23" customWidth="1"/>
    <col min="17" max="18" width="3" style="20" customWidth="1"/>
    <col min="19" max="19" width="12" style="4" customWidth="1"/>
    <col min="20" max="20" width="35" style="4" customWidth="1"/>
    <col min="21" max="21" width="0.140625" style="4" customWidth="1"/>
    <col min="22" max="24" width="24.7109375" style="4" hidden="1" customWidth="1"/>
    <col min="25" max="25" width="11.7109375" style="4" hidden="1" customWidth="1"/>
    <col min="26" max="26" width="3.7109375" style="4" hidden="1" customWidth="1"/>
    <col min="27" max="27" width="11.7109375" style="4" hidden="1" customWidth="1"/>
    <col min="28" max="28" width="8.5703125" style="4" hidden="1" customWidth="1"/>
    <col min="29" max="29" width="24.7109375" style="4" customWidth="1"/>
    <col min="30" max="31" width="24" style="4" customWidth="1"/>
    <col min="32" max="32" width="11" style="4" customWidth="1"/>
    <col min="33" max="33" width="3.7109375" style="4" customWidth="1"/>
    <col min="34" max="34" width="11" style="4" customWidth="1"/>
    <col min="35" max="35" width="8.5703125" style="4" hidden="1" customWidth="1"/>
    <col min="36" max="36" width="4" style="4" customWidth="1"/>
    <col min="37" max="37" width="115" style="4" customWidth="1"/>
    <col min="38" max="42" width="10" style="46" customWidth="1"/>
    <col min="43" max="43" width="10.5703125" style="4" hidden="1"/>
  </cols>
  <sheetData>
    <row r="1" spans="5:43" ht="22.5" hidden="1" customHeight="1">
      <c r="AQ1" s="4" t="s">
        <v>14</v>
      </c>
    </row>
    <row r="2" spans="5:43" ht="23.25" hidden="1" customHeight="1">
      <c r="E2" s="745">
        <v>1</v>
      </c>
      <c r="M2" s="43"/>
      <c r="N2" s="43"/>
      <c r="O2" s="43"/>
      <c r="Q2" s="4"/>
      <c r="R2" s="119"/>
      <c r="S2" s="24" t="e">
        <f>INDEX(PT_DIFFERENTIATION_NUM_NTAR,MATCH(A2,PT_DIFFERENTIATION_NTAR_ID,0))</f>
        <v>#N/A</v>
      </c>
      <c r="T2" s="29" t="s">
        <v>128</v>
      </c>
      <c r="U2" s="29"/>
      <c r="V2" s="742"/>
      <c r="W2" s="743"/>
      <c r="X2" s="743"/>
      <c r="Y2" s="743"/>
      <c r="Z2" s="743"/>
      <c r="AA2" s="743"/>
      <c r="AB2" s="744"/>
      <c r="AC2" s="742" t="e">
        <f>INDEX(PT_DIFFERENTIATION_NTAR,MATCH(A2,PT_DIFFERENTIATION_NTAR_ID,0))</f>
        <v>#N/A</v>
      </c>
      <c r="AD2" s="743"/>
      <c r="AE2" s="743"/>
      <c r="AF2" s="743"/>
      <c r="AG2" s="743"/>
      <c r="AH2" s="743"/>
      <c r="AI2" s="743"/>
      <c r="AJ2" s="744"/>
      <c r="AK2" s="4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N2" s="46" t="str">
        <f t="shared" ref="AN2:AN13" si="0">IF(T2="","",T2)</f>
        <v>Наименование тарифа</v>
      </c>
      <c r="AQ2" s="4">
        <v>0</v>
      </c>
    </row>
    <row r="3" spans="5:43" ht="23.25" hidden="1" customHeight="1">
      <c r="E3" s="747"/>
      <c r="F3" s="745">
        <v>1</v>
      </c>
      <c r="M3" s="43"/>
      <c r="N3" s="43"/>
      <c r="O3" s="43"/>
      <c r="P3" s="4"/>
      <c r="Q3" s="118"/>
      <c r="R3" s="119"/>
      <c r="S3" s="24" t="e">
        <f>INDEX(PT_DIFFERENTIATION_NUM_TER,MATCH(B3,PT_DIFFERENTIATION_TER_ID,0))</f>
        <v>#N/A</v>
      </c>
      <c r="T3" s="24" t="s">
        <v>400</v>
      </c>
      <c r="U3" s="29"/>
      <c r="V3" s="742"/>
      <c r="W3" s="743"/>
      <c r="X3" s="743"/>
      <c r="Y3" s="743"/>
      <c r="Z3" s="743"/>
      <c r="AA3" s="743"/>
      <c r="AB3" s="744"/>
      <c r="AC3" s="742" t="e">
        <f>INDEX(PT_DIFFERENTIATION_TER,MATCH(B3,PT_DIFFERENTIATION_TER_ID,0))</f>
        <v>#N/A</v>
      </c>
      <c r="AD3" s="743"/>
      <c r="AE3" s="743"/>
      <c r="AF3" s="743"/>
      <c r="AG3" s="743"/>
      <c r="AH3" s="743"/>
      <c r="AI3" s="743"/>
      <c r="AJ3" s="744"/>
      <c r="AK3" s="428" t="s">
        <v>401</v>
      </c>
      <c r="AN3" s="46" t="str">
        <f t="shared" si="0"/>
        <v>Территория действия тарифа</v>
      </c>
      <c r="AQ3" s="4">
        <v>0</v>
      </c>
    </row>
    <row r="4" spans="5:43" ht="23.25" hidden="1" customHeight="1">
      <c r="E4" s="747"/>
      <c r="F4" s="747"/>
      <c r="G4" s="745">
        <v>1</v>
      </c>
      <c r="M4" s="43"/>
      <c r="N4" s="43"/>
      <c r="O4" s="43"/>
      <c r="P4" s="16"/>
      <c r="Q4" s="118"/>
      <c r="R4" s="119"/>
      <c r="S4" s="24" t="e">
        <f>INDEX(PT_DIFFERENTIATION_NUM_CS,MATCH(C4,PT_DIFFERENTIATION_CS_ID,0))</f>
        <v>#N/A</v>
      </c>
      <c r="T4" s="24" t="s">
        <v>484</v>
      </c>
      <c r="U4" s="29"/>
      <c r="V4" s="742"/>
      <c r="W4" s="743"/>
      <c r="X4" s="743"/>
      <c r="Y4" s="743"/>
      <c r="Z4" s="743"/>
      <c r="AA4" s="743"/>
      <c r="AB4" s="744"/>
      <c r="AC4" s="742" t="e">
        <f>INDEX(PT_DIFFERENTIATION_CS,MATCH(C4,PT_DIFFERENTIATION_CS_ID,0))</f>
        <v>#N/A</v>
      </c>
      <c r="AD4" s="743"/>
      <c r="AE4" s="743"/>
      <c r="AF4" s="743"/>
      <c r="AG4" s="743"/>
      <c r="AH4" s="743"/>
      <c r="AI4" s="743"/>
      <c r="AJ4" s="744"/>
      <c r="AK4" s="428" t="s">
        <v>485</v>
      </c>
      <c r="AN4" s="46" t="str">
        <f t="shared" si="0"/>
        <v>Наименование централизованной системы холодного водоснабжения</v>
      </c>
      <c r="AQ4" s="4">
        <v>0</v>
      </c>
    </row>
    <row r="5" spans="5:43" ht="23.25" hidden="1" customHeight="1">
      <c r="E5" s="747"/>
      <c r="F5" s="747"/>
      <c r="G5" s="747"/>
      <c r="H5" s="747"/>
      <c r="I5" s="745" t="e">
        <f>S4&amp;".1"</f>
        <v>#N/A</v>
      </c>
      <c r="P5" s="748">
        <v>1</v>
      </c>
      <c r="Q5" s="46"/>
      <c r="R5" s="120"/>
      <c r="S5" s="24" t="e">
        <f>$I5</f>
        <v>#N/A</v>
      </c>
      <c r="T5" s="24" t="s">
        <v>486</v>
      </c>
      <c r="U5" s="29"/>
      <c r="V5" s="793"/>
      <c r="W5" s="794"/>
      <c r="X5" s="794"/>
      <c r="Y5" s="794"/>
      <c r="Z5" s="794"/>
      <c r="AA5" s="794"/>
      <c r="AB5" s="795"/>
      <c r="AC5" s="793"/>
      <c r="AD5" s="794"/>
      <c r="AE5" s="794"/>
      <c r="AF5" s="794"/>
      <c r="AG5" s="794"/>
      <c r="AH5" s="794"/>
      <c r="AI5" s="794"/>
      <c r="AJ5" s="795"/>
      <c r="AK5" s="428" t="s">
        <v>487</v>
      </c>
      <c r="AN5" s="46" t="str">
        <f t="shared" si="0"/>
        <v>Наименование признака дифференциации</v>
      </c>
      <c r="AQ5" s="4">
        <v>0</v>
      </c>
    </row>
    <row r="6" spans="5:43" ht="23.25" hidden="1" customHeight="1">
      <c r="E6" s="747"/>
      <c r="F6" s="747"/>
      <c r="G6" s="747"/>
      <c r="H6" s="747"/>
      <c r="I6" s="747"/>
      <c r="J6" s="745" t="e">
        <f>I5&amp;".1"</f>
        <v>#N/A</v>
      </c>
      <c r="L6" s="43" t="s">
        <v>409</v>
      </c>
      <c r="P6" s="748"/>
      <c r="Q6" s="748">
        <v>1</v>
      </c>
      <c r="R6" s="120"/>
      <c r="S6" s="24" t="e">
        <f>$J6</f>
        <v>#N/A</v>
      </c>
      <c r="T6" s="24" t="s">
        <v>410</v>
      </c>
      <c r="U6" s="29"/>
      <c r="V6" s="737"/>
      <c r="W6" s="738"/>
      <c r="X6" s="738"/>
      <c r="Y6" s="738"/>
      <c r="Z6" s="738"/>
      <c r="AA6" s="738"/>
      <c r="AB6" s="739"/>
      <c r="AC6" s="737"/>
      <c r="AD6" s="738"/>
      <c r="AE6" s="738"/>
      <c r="AF6" s="738"/>
      <c r="AG6" s="738"/>
      <c r="AH6" s="738"/>
      <c r="AI6" s="738"/>
      <c r="AJ6" s="739"/>
      <c r="AK6" s="445" t="s">
        <v>488</v>
      </c>
      <c r="AN6" s="46" t="str">
        <f t="shared" si="0"/>
        <v>Группа потребителей</v>
      </c>
      <c r="AQ6" s="4">
        <v>0</v>
      </c>
    </row>
    <row r="7" spans="5:43" ht="23.25" hidden="1" customHeight="1">
      <c r="E7" s="747"/>
      <c r="F7" s="747"/>
      <c r="G7" s="747"/>
      <c r="H7" s="747"/>
      <c r="I7" s="747"/>
      <c r="J7" s="747"/>
      <c r="K7" s="745" t="e">
        <f>J6&amp;".1"</f>
        <v>#N/A</v>
      </c>
      <c r="P7" s="748"/>
      <c r="Q7" s="748"/>
      <c r="R7" s="120">
        <v>1</v>
      </c>
      <c r="S7" s="24" t="e">
        <f>$K7</f>
        <v>#N/A</v>
      </c>
      <c r="T7" s="25"/>
      <c r="U7" s="29"/>
      <c r="V7" s="168"/>
      <c r="W7" s="168"/>
      <c r="X7" s="427"/>
      <c r="Y7" s="749"/>
      <c r="Z7" s="688" t="s">
        <v>66</v>
      </c>
      <c r="AA7" s="749"/>
      <c r="AB7" s="688" t="s">
        <v>66</v>
      </c>
      <c r="AC7" s="168"/>
      <c r="AD7" s="168"/>
      <c r="AE7" s="427"/>
      <c r="AF7" s="749"/>
      <c r="AG7" s="688" t="s">
        <v>66</v>
      </c>
      <c r="AH7" s="750"/>
      <c r="AI7" s="688" t="s">
        <v>66</v>
      </c>
      <c r="AJ7" s="474"/>
      <c r="AK7" s="79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6" t="e">
        <f ca="1">STRCHECKDATE(V8:AJ8)</f>
        <v>#NAME?</v>
      </c>
      <c r="AN7" s="46" t="str">
        <f t="shared" si="0"/>
        <v/>
      </c>
      <c r="AQ7" s="4">
        <v>0</v>
      </c>
    </row>
    <row r="8" spans="5:43" ht="14.25" hidden="1" customHeight="1">
      <c r="E8" s="747"/>
      <c r="F8" s="747"/>
      <c r="G8" s="747"/>
      <c r="H8" s="747"/>
      <c r="I8" s="747"/>
      <c r="J8" s="747"/>
      <c r="K8" s="745"/>
      <c r="P8" s="748"/>
      <c r="Q8" s="748"/>
      <c r="R8" s="120"/>
      <c r="S8" s="31"/>
      <c r="T8" s="29"/>
      <c r="U8" s="29"/>
      <c r="V8" s="110"/>
      <c r="W8" s="110"/>
      <c r="X8" s="111" t="str">
        <f>Y7&amp;"-"&amp;AA7</f>
        <v>-</v>
      </c>
      <c r="Y8" s="707"/>
      <c r="Z8" s="688"/>
      <c r="AA8" s="707"/>
      <c r="AB8" s="688"/>
      <c r="AC8" s="110"/>
      <c r="AD8" s="110"/>
      <c r="AE8" s="111" t="str">
        <f>AF7&amp;"-"&amp;AH7</f>
        <v>-</v>
      </c>
      <c r="AF8" s="707"/>
      <c r="AG8" s="688"/>
      <c r="AH8" s="751"/>
      <c r="AI8" s="688"/>
      <c r="AJ8" s="216"/>
      <c r="AK8" s="796"/>
      <c r="AN8" s="46" t="str">
        <f t="shared" si="0"/>
        <v/>
      </c>
      <c r="AQ8" s="4">
        <v>0</v>
      </c>
    </row>
    <row r="9" spans="5:43" ht="21" hidden="1" customHeight="1">
      <c r="E9" s="747"/>
      <c r="F9" s="747"/>
      <c r="G9" s="747"/>
      <c r="H9" s="747"/>
      <c r="I9" s="747"/>
      <c r="J9" s="745"/>
      <c r="P9" s="748"/>
      <c r="Q9" s="748"/>
      <c r="R9" s="120"/>
      <c r="S9" s="434"/>
      <c r="T9" s="37" t="s">
        <v>489</v>
      </c>
      <c r="U9" s="58"/>
      <c r="V9" s="58"/>
      <c r="W9" s="58"/>
      <c r="X9" s="58"/>
      <c r="Y9" s="58"/>
      <c r="Z9" s="58"/>
      <c r="AA9" s="58"/>
      <c r="AB9" s="58"/>
      <c r="AC9" s="58"/>
      <c r="AD9" s="58"/>
      <c r="AE9" s="58"/>
      <c r="AF9" s="58"/>
      <c r="AG9" s="58"/>
      <c r="AH9" s="58"/>
      <c r="AI9" s="58"/>
      <c r="AJ9" s="58"/>
      <c r="AK9" s="428" t="s">
        <v>490</v>
      </c>
      <c r="AN9" s="46" t="str">
        <f t="shared" si="0"/>
        <v>Добавить значение признака дифференциации</v>
      </c>
      <c r="AQ9" s="4">
        <v>0</v>
      </c>
    </row>
    <row r="10" spans="5:43" ht="21" hidden="1" customHeight="1">
      <c r="E10" s="747"/>
      <c r="F10" s="747"/>
      <c r="G10" s="747"/>
      <c r="H10" s="747"/>
      <c r="I10" s="745"/>
      <c r="P10" s="748"/>
      <c r="Q10" s="46"/>
      <c r="R10" s="120"/>
      <c r="S10" s="434"/>
      <c r="T10" s="37" t="s">
        <v>415</v>
      </c>
      <c r="U10" s="58"/>
      <c r="V10" s="58"/>
      <c r="W10" s="58"/>
      <c r="X10" s="58"/>
      <c r="Y10" s="58"/>
      <c r="Z10" s="58"/>
      <c r="AA10" s="58"/>
      <c r="AB10" s="54"/>
      <c r="AC10" s="58"/>
      <c r="AD10" s="58"/>
      <c r="AE10" s="58"/>
      <c r="AF10" s="58"/>
      <c r="AG10" s="58"/>
      <c r="AH10" s="58"/>
      <c r="AI10" s="54"/>
      <c r="AJ10" s="58"/>
      <c r="AK10" s="475"/>
      <c r="AN10" s="46" t="str">
        <f t="shared" si="0"/>
        <v>Добавить группу потребителей</v>
      </c>
      <c r="AQ10" s="4">
        <v>0</v>
      </c>
    </row>
    <row r="11" spans="5:43" ht="21" hidden="1" customHeight="1">
      <c r="E11" s="747"/>
      <c r="F11" s="747"/>
      <c r="G11" s="747"/>
      <c r="H11" s="745"/>
      <c r="M11" s="43"/>
      <c r="N11" s="43"/>
      <c r="O11" s="43"/>
      <c r="P11" s="4"/>
      <c r="R11" s="119"/>
      <c r="S11" s="434"/>
      <c r="T11" s="37" t="s">
        <v>491</v>
      </c>
      <c r="U11" s="58"/>
      <c r="V11" s="58"/>
      <c r="W11" s="58"/>
      <c r="X11" s="58"/>
      <c r="Y11" s="58"/>
      <c r="Z11" s="58"/>
      <c r="AA11" s="58"/>
      <c r="AB11" s="54"/>
      <c r="AC11" s="58"/>
      <c r="AD11" s="58"/>
      <c r="AE11" s="58"/>
      <c r="AF11" s="58"/>
      <c r="AG11" s="58"/>
      <c r="AH11" s="58"/>
      <c r="AI11" s="54"/>
      <c r="AJ11" s="58"/>
      <c r="AK11" s="102"/>
      <c r="AN11" s="46" t="str">
        <f t="shared" si="0"/>
        <v>Добавить наименование признака дифференциации</v>
      </c>
      <c r="AQ11" s="4">
        <v>0</v>
      </c>
    </row>
    <row r="12" spans="5:43" s="46" customFormat="1" ht="14.25" hidden="1" customHeight="1">
      <c r="E12" s="747"/>
      <c r="F12" s="745"/>
      <c r="M12" s="160"/>
      <c r="N12" s="160"/>
      <c r="Q12" s="446"/>
      <c r="S12" s="449"/>
      <c r="T12" s="160" t="s">
        <v>418</v>
      </c>
      <c r="U12" s="160"/>
      <c r="V12" s="160"/>
      <c r="W12" s="160"/>
      <c r="X12" s="160"/>
      <c r="Y12" s="160"/>
      <c r="Z12" s="160"/>
      <c r="AA12" s="160"/>
      <c r="AB12" s="160"/>
      <c r="AC12" s="160"/>
      <c r="AD12" s="160"/>
      <c r="AE12" s="160"/>
      <c r="AF12" s="160"/>
      <c r="AG12" s="160"/>
      <c r="AH12" s="160"/>
      <c r="AI12" s="160"/>
      <c r="AJ12" s="160"/>
      <c r="AK12" s="160"/>
      <c r="AN12" s="46" t="str">
        <f t="shared" si="0"/>
        <v>Добавить централизованную систему для дифференциации</v>
      </c>
      <c r="AQ12" s="46">
        <v>0</v>
      </c>
    </row>
    <row r="13" spans="5:43" s="46" customFormat="1" ht="14.25" hidden="1" customHeight="1">
      <c r="E13" s="745"/>
      <c r="M13" s="160"/>
      <c r="N13" s="160"/>
      <c r="Q13" s="446"/>
      <c r="S13" s="449"/>
      <c r="T13" s="160" t="s">
        <v>419</v>
      </c>
      <c r="U13" s="160"/>
      <c r="V13" s="160"/>
      <c r="W13" s="160"/>
      <c r="X13" s="160"/>
      <c r="Y13" s="160"/>
      <c r="Z13" s="160"/>
      <c r="AA13" s="160"/>
      <c r="AB13" s="160"/>
      <c r="AC13" s="160"/>
      <c r="AD13" s="160"/>
      <c r="AE13" s="160"/>
      <c r="AF13" s="160"/>
      <c r="AG13" s="160"/>
      <c r="AH13" s="160"/>
      <c r="AI13" s="160"/>
      <c r="AJ13" s="160"/>
      <c r="AK13" s="160"/>
      <c r="AN13" s="46" t="str">
        <f t="shared" si="0"/>
        <v>Добавить территорию для дифференциации</v>
      </c>
      <c r="AQ13" s="46">
        <v>0</v>
      </c>
    </row>
    <row r="14" spans="5:43" ht="14.25" hidden="1" customHeight="1">
      <c r="AQ14" s="4">
        <v>0</v>
      </c>
    </row>
    <row r="15" spans="5:43" ht="14.25" hidden="1" customHeight="1">
      <c r="AC15" s="205"/>
      <c r="AD15" s="205"/>
      <c r="AE15" s="451"/>
      <c r="AF15" s="746"/>
      <c r="AG15" s="745" t="s">
        <v>66</v>
      </c>
      <c r="AH15" s="746"/>
      <c r="AI15" s="745" t="s">
        <v>66</v>
      </c>
      <c r="AQ15" s="4">
        <v>0</v>
      </c>
    </row>
    <row r="16" spans="5:43" ht="14.25" hidden="1" customHeight="1">
      <c r="AC16" s="205"/>
      <c r="AD16" s="205"/>
      <c r="AE16" s="111" t="str">
        <f>AF15&amp;"-"&amp;AH15</f>
        <v>-</v>
      </c>
      <c r="AF16" s="745"/>
      <c r="AG16" s="745"/>
      <c r="AH16" s="745"/>
      <c r="AI16" s="745"/>
      <c r="AQ16" s="4">
        <v>0</v>
      </c>
    </row>
    <row r="17" spans="1:43" ht="14.25" hidden="1" customHeight="1">
      <c r="AQ17" s="4">
        <v>0</v>
      </c>
    </row>
    <row r="18" spans="1:43" s="43" customFormat="1" ht="22.5" hidden="1" customHeight="1">
      <c r="M18" s="167"/>
      <c r="N18" s="167"/>
      <c r="O18" s="261" t="s">
        <v>420</v>
      </c>
      <c r="P18" s="167"/>
      <c r="Q18" s="452"/>
      <c r="R18" s="452"/>
      <c r="Y18" s="261"/>
      <c r="AA18" s="261"/>
      <c r="AF18" s="261"/>
      <c r="AH18" s="261"/>
      <c r="AL18" s="46"/>
      <c r="AM18" s="46"/>
      <c r="AN18" s="46"/>
      <c r="AO18" s="46"/>
      <c r="AP18" s="46"/>
      <c r="AQ18" s="43">
        <v>0</v>
      </c>
    </row>
    <row r="19" spans="1:43" s="43" customFormat="1" ht="14.25" hidden="1" customHeight="1">
      <c r="M19" s="167"/>
      <c r="N19" s="167"/>
      <c r="O19" s="167"/>
      <c r="P19" s="167"/>
      <c r="Q19" s="452"/>
      <c r="R19" s="452"/>
      <c r="AL19" s="46"/>
      <c r="AM19" s="46"/>
      <c r="AN19" s="46"/>
      <c r="AO19" s="46"/>
      <c r="AP19" s="46"/>
      <c r="AQ19" s="43">
        <v>0</v>
      </c>
    </row>
    <row r="20" spans="1:43" s="43" customFormat="1" ht="12" hidden="1" customHeight="1">
      <c r="M20" s="167"/>
      <c r="N20" s="167"/>
      <c r="O20" s="43" t="s">
        <v>421</v>
      </c>
      <c r="P20" s="167"/>
      <c r="Q20" s="476"/>
      <c r="R20" s="476"/>
      <c r="T20" s="43" t="s">
        <v>422</v>
      </c>
      <c r="Z20" s="43" t="s">
        <v>423</v>
      </c>
      <c r="AB20" s="43" t="s">
        <v>424</v>
      </c>
      <c r="AC20" s="43" t="s">
        <v>422</v>
      </c>
      <c r="AG20" s="43" t="s">
        <v>425</v>
      </c>
      <c r="AI20" s="43" t="s">
        <v>424</v>
      </c>
      <c r="AQ20" s="43">
        <v>0</v>
      </c>
    </row>
    <row r="21" spans="1:43" ht="14.25" hidden="1" customHeight="1">
      <c r="O21" s="43"/>
      <c r="AQ21" s="4">
        <v>0</v>
      </c>
    </row>
    <row r="22" spans="1:43" ht="14.25" hidden="1" customHeight="1">
      <c r="O22" s="43"/>
      <c r="AQ22" s="4">
        <v>0</v>
      </c>
    </row>
    <row r="23" spans="1:43" ht="14.65" customHeight="1">
      <c r="Q23" s="19"/>
      <c r="R23" s="19"/>
      <c r="S23" s="6"/>
      <c r="T23" s="6"/>
      <c r="U23" s="6"/>
      <c r="AQ23" s="4">
        <v>14</v>
      </c>
    </row>
    <row r="24" spans="1:43" ht="14.65" customHeight="1">
      <c r="Q24" s="19"/>
      <c r="R24" s="19"/>
      <c r="S24" s="697"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697"/>
      <c r="U24" s="697"/>
      <c r="V24" s="697"/>
      <c r="W24" s="697"/>
      <c r="X24" s="697"/>
      <c r="Y24" s="697"/>
      <c r="Z24" s="697"/>
      <c r="AA24" s="697"/>
      <c r="AB24" s="697"/>
      <c r="AC24" s="697"/>
      <c r="AD24" s="697"/>
      <c r="AE24" s="697"/>
      <c r="AF24" s="697"/>
      <c r="AG24" s="697"/>
      <c r="AH24" s="697"/>
      <c r="AI24" s="40"/>
      <c r="AQ24" s="4">
        <v>14</v>
      </c>
    </row>
    <row r="25" spans="1:43" ht="14.65" customHeight="1">
      <c r="Q25" s="19"/>
      <c r="R25" s="19"/>
      <c r="S25" s="712" t="str">
        <f>IF(org=0,"Не определено",org)</f>
        <v>ООО "Восточная Тепловая компания"</v>
      </c>
      <c r="T25" s="712"/>
      <c r="U25" s="712"/>
      <c r="V25" s="712"/>
      <c r="W25" s="712"/>
      <c r="X25" s="712"/>
      <c r="Y25" s="712"/>
      <c r="Z25" s="712"/>
      <c r="AA25" s="712"/>
      <c r="AB25" s="712"/>
      <c r="AC25" s="712"/>
      <c r="AD25" s="712"/>
      <c r="AE25" s="712"/>
      <c r="AF25" s="712"/>
      <c r="AG25" s="712"/>
      <c r="AH25" s="712"/>
      <c r="AI25" s="40"/>
      <c r="AQ25" s="4">
        <v>14</v>
      </c>
    </row>
    <row r="26" spans="1:43" ht="14.25" hidden="1" customHeight="1">
      <c r="Q26" s="19"/>
      <c r="R26" s="19"/>
      <c r="S26" s="6"/>
      <c r="T26" s="6"/>
      <c r="U26" s="6"/>
      <c r="V26" s="109"/>
      <c r="W26" s="109"/>
      <c r="X26" s="109"/>
      <c r="Y26" s="109"/>
      <c r="Z26" s="109"/>
      <c r="AA26" s="109"/>
      <c r="AB26" s="109"/>
      <c r="AC26" s="109"/>
      <c r="AD26" s="109"/>
      <c r="AE26" s="109"/>
      <c r="AF26" s="109"/>
      <c r="AG26" s="109"/>
      <c r="AH26" s="109"/>
      <c r="AI26" s="109"/>
      <c r="AQ26" s="4">
        <v>0</v>
      </c>
    </row>
    <row r="27" spans="1:43" s="22" customFormat="1" ht="25.5" hidden="1" customHeight="1">
      <c r="A27" s="43"/>
      <c r="B27" s="43"/>
      <c r="C27" s="43"/>
      <c r="D27" s="43"/>
      <c r="E27" s="43"/>
      <c r="F27" s="43"/>
      <c r="G27" s="43"/>
      <c r="H27" s="43"/>
      <c r="I27" s="43"/>
      <c r="J27" s="43"/>
      <c r="K27" s="43"/>
      <c r="L27" s="43"/>
      <c r="M27" s="43"/>
      <c r="N27" s="43"/>
      <c r="O27" s="43"/>
      <c r="S27" s="721" t="s">
        <v>42</v>
      </c>
      <c r="T27" s="721"/>
      <c r="U27" s="453"/>
      <c r="V27" s="741" t="str">
        <f>IF(TITLE_NAME_OR_PR_CHANGE="",IF(TITLE_NAME_OR_PR="","",TITLE_NAME_OR_PR),TITLE_NAME_OR_PR_CHANGE)</f>
        <v/>
      </c>
      <c r="W27" s="741"/>
      <c r="X27" s="741"/>
      <c r="Y27" s="741"/>
      <c r="Z27" s="741"/>
      <c r="AA27" s="741"/>
      <c r="AB27" s="4"/>
      <c r="AC27" s="741" t="str">
        <f>IF(TITLE_NAME_OR_PR_CHANGE="",IF(TITLE_NAME_OR_PR="","",TITLE_NAME_OR_PR),TITLE_NAME_OR_PR_CHANGE)</f>
        <v/>
      </c>
      <c r="AD27" s="741"/>
      <c r="AE27" s="741"/>
      <c r="AF27" s="741"/>
      <c r="AG27" s="741"/>
      <c r="AH27" s="741"/>
      <c r="AI27" s="4"/>
      <c r="AJ27" s="4"/>
      <c r="AK27" s="96"/>
      <c r="AL27" s="46"/>
      <c r="AM27" s="46"/>
      <c r="AN27" s="46"/>
      <c r="AO27" s="46"/>
      <c r="AP27" s="46"/>
      <c r="AQ27" s="22">
        <v>0</v>
      </c>
    </row>
    <row r="28" spans="1:43" s="22" customFormat="1" ht="18.75" hidden="1" customHeight="1">
      <c r="A28" s="43"/>
      <c r="B28" s="43"/>
      <c r="C28" s="43"/>
      <c r="D28" s="43"/>
      <c r="E28" s="43"/>
      <c r="F28" s="43"/>
      <c r="G28" s="43"/>
      <c r="H28" s="43"/>
      <c r="I28" s="43"/>
      <c r="J28" s="43"/>
      <c r="K28" s="43"/>
      <c r="L28" s="43"/>
      <c r="M28" s="43"/>
      <c r="N28" s="43"/>
      <c r="O28" s="43"/>
      <c r="S28" s="721" t="s">
        <v>426</v>
      </c>
      <c r="T28" s="721"/>
      <c r="U28" s="453"/>
      <c r="V28" s="740" t="str">
        <f>IF(TITLE_DATE_PR_CHANGE="",IF(TITLE_DATE_PR="","",TITLE_DATE_PR),TITLE_DATE_PR_CHANGE)</f>
        <v/>
      </c>
      <c r="W28" s="740"/>
      <c r="X28" s="740"/>
      <c r="Y28" s="740"/>
      <c r="Z28" s="740"/>
      <c r="AA28" s="740"/>
      <c r="AB28" s="4"/>
      <c r="AC28" s="740" t="str">
        <f>IF(TITLE_DATE_PR_CHANGE="",IF(TITLE_DATE_PR="","",TITLE_DATE_PR),TITLE_DATE_PR_CHANGE)</f>
        <v/>
      </c>
      <c r="AD28" s="740"/>
      <c r="AE28" s="740"/>
      <c r="AF28" s="740"/>
      <c r="AG28" s="740"/>
      <c r="AH28" s="740"/>
      <c r="AI28" s="4"/>
      <c r="AJ28" s="4"/>
      <c r="AK28" s="96"/>
      <c r="AL28" s="46"/>
      <c r="AM28" s="46"/>
      <c r="AN28" s="46"/>
      <c r="AO28" s="46"/>
      <c r="AP28" s="46"/>
      <c r="AQ28" s="22">
        <v>0</v>
      </c>
    </row>
    <row r="29" spans="1:43" s="22" customFormat="1" ht="18.75" hidden="1" customHeight="1">
      <c r="A29" s="43"/>
      <c r="B29" s="43"/>
      <c r="C29" s="43"/>
      <c r="D29" s="43"/>
      <c r="E29" s="43"/>
      <c r="F29" s="43"/>
      <c r="G29" s="43"/>
      <c r="H29" s="43"/>
      <c r="I29" s="43"/>
      <c r="J29" s="43"/>
      <c r="K29" s="43"/>
      <c r="L29" s="43"/>
      <c r="M29" s="43"/>
      <c r="N29" s="43"/>
      <c r="O29" s="43"/>
      <c r="S29" s="721" t="s">
        <v>427</v>
      </c>
      <c r="T29" s="721"/>
      <c r="U29" s="453"/>
      <c r="V29" s="741" t="str">
        <f>IF(TITLE_NUMBER_PR_CHANGE="",IF(TITLE_NUMBER_PR="","",TITLE_NUMBER_PR),TITLE_NUMBER_PR_CHANGE)</f>
        <v/>
      </c>
      <c r="W29" s="741"/>
      <c r="X29" s="741"/>
      <c r="Y29" s="741"/>
      <c r="Z29" s="741"/>
      <c r="AA29" s="741"/>
      <c r="AB29" s="4"/>
      <c r="AC29" s="741" t="str">
        <f>IF(TITLE_NUMBER_PR_CHANGE="",IF(TITLE_NUMBER_PR="","",TITLE_NUMBER_PR),TITLE_NUMBER_PR_CHANGE)</f>
        <v/>
      </c>
      <c r="AD29" s="741"/>
      <c r="AE29" s="741"/>
      <c r="AF29" s="741"/>
      <c r="AG29" s="741"/>
      <c r="AH29" s="741"/>
      <c r="AI29" s="4"/>
      <c r="AJ29" s="4"/>
      <c r="AK29" s="96"/>
      <c r="AL29" s="46"/>
      <c r="AM29" s="46"/>
      <c r="AN29" s="46"/>
      <c r="AO29" s="46"/>
      <c r="AP29" s="46"/>
      <c r="AQ29" s="22">
        <v>0</v>
      </c>
    </row>
    <row r="30" spans="1:43" s="22" customFormat="1" ht="18.75" hidden="1" customHeight="1">
      <c r="A30" s="43"/>
      <c r="B30" s="43"/>
      <c r="C30" s="43"/>
      <c r="D30" s="43"/>
      <c r="E30" s="43"/>
      <c r="F30" s="43"/>
      <c r="G30" s="43"/>
      <c r="H30" s="43"/>
      <c r="I30" s="43"/>
      <c r="J30" s="43"/>
      <c r="K30" s="43"/>
      <c r="L30" s="43"/>
      <c r="M30" s="43"/>
      <c r="N30" s="43"/>
      <c r="O30" s="43"/>
      <c r="S30" s="721" t="s">
        <v>43</v>
      </c>
      <c r="T30" s="721"/>
      <c r="U30" s="453"/>
      <c r="V30" s="741" t="str">
        <f>IF(TITLE_IST_PUB_CHANGE="",IF(TITLE_IST_PUB="","",TITLE_IST_PUB),TITLE_IST_PUB_CHANGE)</f>
        <v/>
      </c>
      <c r="W30" s="741"/>
      <c r="X30" s="741"/>
      <c r="Y30" s="741"/>
      <c r="Z30" s="741"/>
      <c r="AA30" s="741"/>
      <c r="AB30" s="4"/>
      <c r="AC30" s="741" t="str">
        <f>IF(TITLE_IST_PUB_CHANGE="",IF(TITLE_IST_PUB="","",TITLE_IST_PUB),TITLE_IST_PUB_CHANGE)</f>
        <v/>
      </c>
      <c r="AD30" s="741"/>
      <c r="AE30" s="741"/>
      <c r="AF30" s="741"/>
      <c r="AG30" s="741"/>
      <c r="AH30" s="741"/>
      <c r="AI30" s="4"/>
      <c r="AJ30" s="4"/>
      <c r="AK30" s="96"/>
      <c r="AL30" s="46"/>
      <c r="AM30" s="46"/>
      <c r="AN30" s="46"/>
      <c r="AO30" s="46"/>
      <c r="AP30" s="46"/>
      <c r="AQ30" s="22">
        <v>0</v>
      </c>
    </row>
    <row r="31" spans="1:43" ht="14.25" hidden="1" customHeight="1">
      <c r="Q31" s="19"/>
      <c r="R31" s="19"/>
      <c r="S31" s="6"/>
      <c r="T31" s="6"/>
      <c r="U31" s="6"/>
      <c r="V31" s="109"/>
      <c r="W31" s="109"/>
      <c r="X31" s="109"/>
      <c r="Y31" s="109"/>
      <c r="Z31" s="109"/>
      <c r="AA31" s="109"/>
      <c r="AB31" s="109"/>
      <c r="AC31" s="109"/>
      <c r="AD31" s="109"/>
      <c r="AE31" s="109"/>
      <c r="AF31" s="109"/>
      <c r="AG31" s="109"/>
      <c r="AH31" s="109"/>
      <c r="AI31" s="109"/>
      <c r="AQ31" s="4">
        <v>0</v>
      </c>
    </row>
    <row r="32" spans="1:43" s="22" customFormat="1" ht="18.75" hidden="1" customHeight="1">
      <c r="A32" s="43"/>
      <c r="B32" s="43"/>
      <c r="C32" s="43"/>
      <c r="D32" s="43"/>
      <c r="E32" s="43"/>
      <c r="F32" s="43"/>
      <c r="G32" s="43"/>
      <c r="H32" s="43"/>
      <c r="I32" s="43"/>
      <c r="J32" s="43"/>
      <c r="K32" s="43"/>
      <c r="L32" s="43"/>
      <c r="M32" s="43"/>
      <c r="N32" s="43"/>
      <c r="O32" s="43"/>
      <c r="S32" s="721" t="s">
        <v>428</v>
      </c>
      <c r="T32" s="721"/>
      <c r="U32" s="453"/>
      <c r="V32" s="740" t="str">
        <f>IF(TITLE_DATE_PR_CHANGE="",IF(TITLE_DATE_PR="","",TITLE_DATE_PR),TITLE_DATE_PR_CHANGE)</f>
        <v/>
      </c>
      <c r="W32" s="740"/>
      <c r="X32" s="740"/>
      <c r="Y32" s="740"/>
      <c r="Z32" s="740"/>
      <c r="AA32" s="740"/>
      <c r="AB32" s="4"/>
      <c r="AC32" s="740" t="str">
        <f>IF(TITLE_DATE_PR_CHANGE="",IF(TITLE_DATE_PR="","",TITLE_DATE_PR),TITLE_DATE_PR_CHANGE)</f>
        <v/>
      </c>
      <c r="AD32" s="740"/>
      <c r="AE32" s="740"/>
      <c r="AF32" s="740"/>
      <c r="AG32" s="740"/>
      <c r="AH32" s="740"/>
      <c r="AI32" s="4"/>
      <c r="AJ32" s="4"/>
      <c r="AK32" s="96"/>
      <c r="AL32" s="46"/>
      <c r="AM32" s="46"/>
      <c r="AN32" s="46"/>
      <c r="AO32" s="46"/>
      <c r="AP32" s="46"/>
      <c r="AQ32" s="22">
        <v>0</v>
      </c>
    </row>
    <row r="33" spans="1:43" s="22" customFormat="1" ht="18.75" hidden="1" customHeight="1">
      <c r="A33" s="43"/>
      <c r="B33" s="43"/>
      <c r="C33" s="43"/>
      <c r="D33" s="43"/>
      <c r="E33" s="43"/>
      <c r="F33" s="43"/>
      <c r="G33" s="43"/>
      <c r="H33" s="43"/>
      <c r="I33" s="43"/>
      <c r="J33" s="43"/>
      <c r="K33" s="43"/>
      <c r="L33" s="43"/>
      <c r="M33" s="43"/>
      <c r="N33" s="43"/>
      <c r="O33" s="43"/>
      <c r="S33" s="721" t="s">
        <v>429</v>
      </c>
      <c r="T33" s="721"/>
      <c r="U33" s="453"/>
      <c r="V33" s="741" t="str">
        <f>IF(TITLE_NUMBER_PR_CHANGE="",IF(TITLE_NUMBER_PR="","",TITLE_NUMBER_PR),TITLE_NUMBER_PR_CHANGE)</f>
        <v/>
      </c>
      <c r="W33" s="741"/>
      <c r="X33" s="741"/>
      <c r="Y33" s="741"/>
      <c r="Z33" s="741"/>
      <c r="AA33" s="741"/>
      <c r="AB33" s="4"/>
      <c r="AC33" s="741" t="str">
        <f>IF(TITLE_NUMBER_PR_CHANGE="",IF(TITLE_NUMBER_PR="","",TITLE_NUMBER_PR),TITLE_NUMBER_PR_CHANGE)</f>
        <v/>
      </c>
      <c r="AD33" s="741"/>
      <c r="AE33" s="741"/>
      <c r="AF33" s="741"/>
      <c r="AG33" s="741"/>
      <c r="AH33" s="741"/>
      <c r="AI33" s="4"/>
      <c r="AJ33" s="4"/>
      <c r="AK33" s="96"/>
      <c r="AL33" s="46"/>
      <c r="AM33" s="46"/>
      <c r="AN33" s="46"/>
      <c r="AO33" s="46"/>
      <c r="AP33" s="46"/>
      <c r="AQ33" s="22">
        <v>0</v>
      </c>
    </row>
    <row r="34" spans="1:43" s="22" customFormat="1" ht="1.1499999999999999" customHeight="1">
      <c r="A34" s="43"/>
      <c r="B34" s="43"/>
      <c r="C34" s="43"/>
      <c r="D34" s="43"/>
      <c r="E34" s="43"/>
      <c r="F34" s="43"/>
      <c r="G34" s="43"/>
      <c r="H34" s="43"/>
      <c r="I34" s="43"/>
      <c r="J34" s="43"/>
      <c r="K34" s="43"/>
      <c r="L34" s="43"/>
      <c r="M34" s="43"/>
      <c r="N34" s="43"/>
      <c r="O34" s="43"/>
      <c r="S34" s="4"/>
      <c r="T34" s="4"/>
      <c r="U34" s="4"/>
      <c r="V34" s="4"/>
      <c r="W34" s="4"/>
      <c r="X34" s="4"/>
      <c r="Y34" s="4"/>
      <c r="Z34" s="4"/>
      <c r="AA34" s="4"/>
      <c r="AB34" s="46" t="s">
        <v>430</v>
      </c>
      <c r="AC34" s="4"/>
      <c r="AD34" s="4"/>
      <c r="AE34" s="4"/>
      <c r="AF34" s="4"/>
      <c r="AG34" s="4"/>
      <c r="AH34" s="4"/>
      <c r="AI34" s="46" t="s">
        <v>430</v>
      </c>
      <c r="AL34" s="46"/>
      <c r="AM34" s="46"/>
      <c r="AN34" s="46"/>
      <c r="AO34" s="46"/>
      <c r="AP34" s="46"/>
      <c r="AQ34" s="22">
        <v>1</v>
      </c>
    </row>
    <row r="35" spans="1:43" ht="14.65" customHeight="1">
      <c r="Q35" s="19"/>
      <c r="R35" s="19"/>
      <c r="S35" s="6"/>
      <c r="T35" s="6"/>
      <c r="U35" s="420"/>
      <c r="V35" s="755"/>
      <c r="W35" s="755"/>
      <c r="X35" s="755"/>
      <c r="Y35" s="755"/>
      <c r="Z35" s="755"/>
      <c r="AA35" s="755"/>
      <c r="AB35" s="755"/>
      <c r="AC35" s="755"/>
      <c r="AD35" s="755"/>
      <c r="AE35" s="755"/>
      <c r="AF35" s="755"/>
      <c r="AG35" s="755"/>
      <c r="AH35" s="755"/>
      <c r="AI35" s="755"/>
      <c r="AQ35" s="4">
        <v>14</v>
      </c>
    </row>
    <row r="36" spans="1:43" ht="14.65" customHeight="1">
      <c r="Q36" s="19"/>
      <c r="R36" s="19"/>
      <c r="S36" s="679" t="s">
        <v>303</v>
      </c>
      <c r="T36" s="679"/>
      <c r="U36" s="679"/>
      <c r="V36" s="679"/>
      <c r="W36" s="679"/>
      <c r="X36" s="679"/>
      <c r="Y36" s="679"/>
      <c r="Z36" s="679"/>
      <c r="AA36" s="679"/>
      <c r="AB36" s="679"/>
      <c r="AC36" s="679"/>
      <c r="AD36" s="679"/>
      <c r="AE36" s="679"/>
      <c r="AF36" s="679"/>
      <c r="AG36" s="679"/>
      <c r="AH36" s="679"/>
      <c r="AI36" s="679"/>
      <c r="AJ36" s="679"/>
      <c r="AK36" s="679" t="s">
        <v>304</v>
      </c>
      <c r="AQ36" s="4">
        <v>14</v>
      </c>
    </row>
    <row r="37" spans="1:43" ht="14.65" customHeight="1">
      <c r="Q37" s="19"/>
      <c r="R37" s="19"/>
      <c r="S37" s="722" t="s">
        <v>88</v>
      </c>
      <c r="T37" s="722" t="s">
        <v>431</v>
      </c>
      <c r="U37" s="100"/>
      <c r="V37" s="756" t="s">
        <v>432</v>
      </c>
      <c r="W37" s="757"/>
      <c r="X37" s="757"/>
      <c r="Y37" s="757"/>
      <c r="Z37" s="757"/>
      <c r="AA37" s="758"/>
      <c r="AB37" s="724" t="s">
        <v>433</v>
      </c>
      <c r="AC37" s="756" t="s">
        <v>432</v>
      </c>
      <c r="AD37" s="757"/>
      <c r="AE37" s="757"/>
      <c r="AF37" s="757"/>
      <c r="AG37" s="757"/>
      <c r="AH37" s="758"/>
      <c r="AI37" s="724" t="s">
        <v>434</v>
      </c>
      <c r="AJ37" s="759" t="s">
        <v>435</v>
      </c>
      <c r="AK37" s="679"/>
      <c r="AQ37" s="4">
        <v>14</v>
      </c>
    </row>
    <row r="38" spans="1:43" ht="35.65" customHeight="1">
      <c r="Q38" s="19"/>
      <c r="R38" s="19"/>
      <c r="S38" s="722"/>
      <c r="T38" s="722"/>
      <c r="U38" s="349"/>
      <c r="V38" s="100" t="s">
        <v>492</v>
      </c>
      <c r="W38" s="662" t="s">
        <v>438</v>
      </c>
      <c r="X38" s="661"/>
      <c r="Y38" s="662" t="s">
        <v>439</v>
      </c>
      <c r="Z38" s="666"/>
      <c r="AA38" s="661"/>
      <c r="AB38" s="725"/>
      <c r="AC38" s="100" t="s">
        <v>492</v>
      </c>
      <c r="AD38" s="662" t="s">
        <v>438</v>
      </c>
      <c r="AE38" s="661"/>
      <c r="AF38" s="662" t="s">
        <v>439</v>
      </c>
      <c r="AG38" s="666"/>
      <c r="AH38" s="661"/>
      <c r="AI38" s="725"/>
      <c r="AJ38" s="760"/>
      <c r="AK38" s="679"/>
      <c r="AQ38" s="4">
        <v>34</v>
      </c>
    </row>
    <row r="39" spans="1:43" ht="35.65" customHeight="1">
      <c r="B39" s="43" t="s">
        <v>140</v>
      </c>
      <c r="C39" s="43" t="s">
        <v>141</v>
      </c>
      <c r="D39" s="43" t="s">
        <v>142</v>
      </c>
      <c r="E39" s="43" t="s">
        <v>440</v>
      </c>
      <c r="F39" s="43" t="s">
        <v>441</v>
      </c>
      <c r="G39" s="43" t="s">
        <v>442</v>
      </c>
      <c r="I39" s="43" t="s">
        <v>493</v>
      </c>
      <c r="J39" s="43" t="s">
        <v>445</v>
      </c>
      <c r="K39" s="43" t="s">
        <v>494</v>
      </c>
      <c r="L39" s="43" t="s">
        <v>421</v>
      </c>
      <c r="Q39" s="19"/>
      <c r="R39" s="19"/>
      <c r="S39" s="722"/>
      <c r="T39" s="722"/>
      <c r="U39" s="101"/>
      <c r="V39" s="100" t="s">
        <v>495</v>
      </c>
      <c r="W39" s="27" t="s">
        <v>496</v>
      </c>
      <c r="X39" s="27" t="s">
        <v>497</v>
      </c>
      <c r="Y39" s="27" t="s">
        <v>449</v>
      </c>
      <c r="Z39" s="728" t="s">
        <v>450</v>
      </c>
      <c r="AA39" s="734"/>
      <c r="AB39" s="726"/>
      <c r="AC39" s="100" t="s">
        <v>495</v>
      </c>
      <c r="AD39" s="27" t="s">
        <v>496</v>
      </c>
      <c r="AE39" s="27" t="s">
        <v>497</v>
      </c>
      <c r="AF39" s="27" t="s">
        <v>449</v>
      </c>
      <c r="AG39" s="728" t="s">
        <v>450</v>
      </c>
      <c r="AH39" s="734"/>
      <c r="AI39" s="726"/>
      <c r="AJ39" s="761"/>
      <c r="AK39" s="679"/>
      <c r="AQ39" s="4">
        <v>34</v>
      </c>
    </row>
    <row r="40" spans="1:43" s="117" customFormat="1" ht="0" hidden="1" customHeight="1">
      <c r="A40" s="43"/>
      <c r="B40" s="43"/>
      <c r="C40" s="43"/>
      <c r="D40" s="43"/>
      <c r="E40" s="43"/>
      <c r="F40" s="43"/>
      <c r="G40" s="43"/>
      <c r="H40" s="43"/>
      <c r="I40" s="43"/>
      <c r="J40" s="43"/>
      <c r="K40" s="43"/>
      <c r="L40" s="43"/>
      <c r="M40" s="167"/>
      <c r="N40" s="167"/>
      <c r="O40" s="167"/>
      <c r="P40" s="178"/>
      <c r="Q40" s="422"/>
      <c r="R40" s="424">
        <v>1</v>
      </c>
      <c r="S40" s="425" t="s">
        <v>110</v>
      </c>
      <c r="T40" s="425" t="s">
        <v>111</v>
      </c>
      <c r="U40" s="421" t="str">
        <f ca="1">OFFSET(U40,0,-1)</f>
        <v>2</v>
      </c>
      <c r="V40" s="426">
        <f ca="1">OFFSET(V40,0,-1)+1</f>
        <v>3</v>
      </c>
      <c r="W40" s="426">
        <f ca="1">OFFSET(W40,0,-1)+1</f>
        <v>4</v>
      </c>
      <c r="X40" s="426">
        <f ca="1">OFFSET(X40,0,-1)+1</f>
        <v>5</v>
      </c>
      <c r="Y40" s="426">
        <f ca="1">OFFSET(Y40,0,-1)+1</f>
        <v>6</v>
      </c>
      <c r="Z40" s="754">
        <f ca="1">OFFSET(Z40,0,-1)+1</f>
        <v>7</v>
      </c>
      <c r="AA40" s="754"/>
      <c r="AB40" s="426">
        <f ca="1">OFFSET(AB40,0,-2)+1</f>
        <v>8</v>
      </c>
      <c r="AC40" s="426">
        <f ca="1">OFFSET(AC40,0,-1)+1</f>
        <v>9</v>
      </c>
      <c r="AD40" s="426">
        <f ca="1">OFFSET(AD40,0,-1)+1</f>
        <v>10</v>
      </c>
      <c r="AE40" s="426">
        <f ca="1">OFFSET(AE40,0,-1)+1</f>
        <v>11</v>
      </c>
      <c r="AF40" s="426">
        <f ca="1">OFFSET(AF40,0,-1)+1</f>
        <v>12</v>
      </c>
      <c r="AG40" s="754">
        <f ca="1">OFFSET(AG40,0,-1)+1</f>
        <v>13</v>
      </c>
      <c r="AH40" s="754"/>
      <c r="AI40" s="426">
        <f ca="1">OFFSET(AI40,0,-2)+1</f>
        <v>14</v>
      </c>
      <c r="AJ40" s="421">
        <f ca="1">OFFSET(AJ40,0,-1)</f>
        <v>14</v>
      </c>
      <c r="AK40" s="426">
        <f ca="1">OFFSET(AK40,0,-1)+1</f>
        <v>15</v>
      </c>
      <c r="AL40" s="46"/>
      <c r="AM40" s="46"/>
      <c r="AN40" s="46"/>
      <c r="AO40" s="46"/>
      <c r="AP40" s="46"/>
      <c r="AQ40" s="117">
        <v>0</v>
      </c>
    </row>
    <row r="41" spans="1:43" ht="24" customHeight="1">
      <c r="A41" s="43" t="s">
        <v>239</v>
      </c>
      <c r="E41" s="745">
        <v>1</v>
      </c>
      <c r="M41" s="43"/>
      <c r="N41" s="43"/>
      <c r="O41" s="43"/>
      <c r="Q41" s="4"/>
      <c r="R41" s="119"/>
      <c r="S41" s="24">
        <f>INDEX(PT_DIFFERENTIATION_NUM_NTAR,MATCH(A41,PT_DIFFERENTIATION_NTAR_ID,0))</f>
        <v>0</v>
      </c>
      <c r="T41" s="29" t="s">
        <v>128</v>
      </c>
      <c r="U41" s="29"/>
      <c r="V41" s="742"/>
      <c r="W41" s="743"/>
      <c r="X41" s="743"/>
      <c r="Y41" s="743"/>
      <c r="Z41" s="743"/>
      <c r="AA41" s="743"/>
      <c r="AB41" s="744"/>
      <c r="AC41" s="742" t="str">
        <f>INDEX(PT_DIFFERENTIATION_NTAR,MATCH(A41,PT_DIFFERENTIATION_NTAR_ID,0))</f>
        <v/>
      </c>
      <c r="AD41" s="743"/>
      <c r="AE41" s="743"/>
      <c r="AF41" s="743"/>
      <c r="AG41" s="743"/>
      <c r="AH41" s="743"/>
      <c r="AI41" s="743"/>
      <c r="AJ41" s="744"/>
      <c r="AK41" s="4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N41" s="46" t="str">
        <f t="shared" ref="AN41:AN53" si="1">IF(T41="","",T41)</f>
        <v>Наименование тарифа</v>
      </c>
      <c r="AQ41" s="4">
        <v>23</v>
      </c>
    </row>
    <row r="42" spans="1:43" ht="24" customHeight="1">
      <c r="A42" s="43" t="s">
        <v>239</v>
      </c>
      <c r="B42" s="43" t="s">
        <v>240</v>
      </c>
      <c r="E42" s="747"/>
      <c r="F42" s="745">
        <v>1</v>
      </c>
      <c r="M42" s="43"/>
      <c r="N42" s="43"/>
      <c r="O42" s="43"/>
      <c r="P42" s="4"/>
      <c r="Q42" s="118"/>
      <c r="R42" s="119"/>
      <c r="S42" s="24" t="str">
        <f>INDEX(PT_DIFFERENTIATION_NUM_TER,MATCH(B42,PT_DIFFERENTIATION_TER_ID,0))</f>
        <v>.</v>
      </c>
      <c r="T42" s="24" t="s">
        <v>400</v>
      </c>
      <c r="U42" s="29"/>
      <c r="V42" s="742"/>
      <c r="W42" s="743"/>
      <c r="X42" s="743"/>
      <c r="Y42" s="743"/>
      <c r="Z42" s="743"/>
      <c r="AA42" s="743"/>
      <c r="AB42" s="744"/>
      <c r="AC42" s="742" t="str">
        <f>INDEX(PT_DIFFERENTIATION_TER,MATCH(B42,PT_DIFFERENTIATION_TER_ID,0))</f>
        <v/>
      </c>
      <c r="AD42" s="743"/>
      <c r="AE42" s="743"/>
      <c r="AF42" s="743"/>
      <c r="AG42" s="743"/>
      <c r="AH42" s="743"/>
      <c r="AI42" s="743"/>
      <c r="AJ42" s="744"/>
      <c r="AK42" s="428" t="s">
        <v>401</v>
      </c>
      <c r="AN42" s="46" t="str">
        <f t="shared" si="1"/>
        <v>Территория действия тарифа</v>
      </c>
      <c r="AQ42" s="4">
        <v>23</v>
      </c>
    </row>
    <row r="43" spans="1:43" ht="24" customHeight="1">
      <c r="A43" s="43" t="s">
        <v>239</v>
      </c>
      <c r="B43" s="43" t="s">
        <v>240</v>
      </c>
      <c r="C43" s="43" t="s">
        <v>241</v>
      </c>
      <c r="E43" s="747"/>
      <c r="F43" s="747"/>
      <c r="G43" s="745">
        <v>1</v>
      </c>
      <c r="M43" s="43"/>
      <c r="N43" s="43"/>
      <c r="O43" s="43"/>
      <c r="P43" s="16"/>
      <c r="Q43" s="118"/>
      <c r="R43" s="119"/>
      <c r="S43" s="24" t="str">
        <f>INDEX(PT_DIFFERENTIATION_NUM_CS,MATCH(C43,PT_DIFFERENTIATION_CS_ID,0))</f>
        <v>..</v>
      </c>
      <c r="T43" s="24" t="s">
        <v>484</v>
      </c>
      <c r="U43" s="29"/>
      <c r="V43" s="742"/>
      <c r="W43" s="743"/>
      <c r="X43" s="743"/>
      <c r="Y43" s="743"/>
      <c r="Z43" s="743"/>
      <c r="AA43" s="743"/>
      <c r="AB43" s="744"/>
      <c r="AC43" s="742" t="str">
        <f>INDEX(PT_DIFFERENTIATION_CS,MATCH(C43,PT_DIFFERENTIATION_CS_ID,0))</f>
        <v/>
      </c>
      <c r="AD43" s="743"/>
      <c r="AE43" s="743"/>
      <c r="AF43" s="743"/>
      <c r="AG43" s="743"/>
      <c r="AH43" s="743"/>
      <c r="AI43" s="743"/>
      <c r="AJ43" s="744"/>
      <c r="AK43" s="428" t="s">
        <v>485</v>
      </c>
      <c r="AN43" s="46" t="str">
        <f t="shared" si="1"/>
        <v>Наименование централизованной системы холодного водоснабжения</v>
      </c>
      <c r="AQ43" s="4">
        <v>23</v>
      </c>
    </row>
    <row r="44" spans="1:43" ht="24" customHeight="1">
      <c r="A44" s="43" t="s">
        <v>239</v>
      </c>
      <c r="B44" s="43" t="s">
        <v>240</v>
      </c>
      <c r="C44" s="43" t="s">
        <v>241</v>
      </c>
      <c r="D44" s="43" t="s">
        <v>500</v>
      </c>
      <c r="E44" s="747"/>
      <c r="F44" s="747"/>
      <c r="G44" s="747"/>
      <c r="H44" s="747"/>
      <c r="I44" s="745" t="str">
        <f>S43&amp;".1"</f>
        <v>...1</v>
      </c>
      <c r="P44" s="748">
        <v>1</v>
      </c>
      <c r="Q44" s="46"/>
      <c r="R44" s="120"/>
      <c r="S44" s="24" t="str">
        <f>$I44</f>
        <v>...1</v>
      </c>
      <c r="T44" s="24" t="s">
        <v>486</v>
      </c>
      <c r="U44" s="29"/>
      <c r="V44" s="793"/>
      <c r="W44" s="794"/>
      <c r="X44" s="794"/>
      <c r="Y44" s="794"/>
      <c r="Z44" s="794"/>
      <c r="AA44" s="794"/>
      <c r="AB44" s="795"/>
      <c r="AC44" s="793"/>
      <c r="AD44" s="794"/>
      <c r="AE44" s="794"/>
      <c r="AF44" s="794"/>
      <c r="AG44" s="794"/>
      <c r="AH44" s="794"/>
      <c r="AI44" s="794"/>
      <c r="AJ44" s="795"/>
      <c r="AK44" s="428" t="s">
        <v>487</v>
      </c>
      <c r="AN44" s="46" t="str">
        <f t="shared" si="1"/>
        <v>Наименование признака дифференциации</v>
      </c>
      <c r="AQ44" s="4">
        <v>23</v>
      </c>
    </row>
    <row r="45" spans="1:43" ht="24" customHeight="1">
      <c r="A45" s="43" t="s">
        <v>239</v>
      </c>
      <c r="B45" s="43" t="s">
        <v>240</v>
      </c>
      <c r="C45" s="43" t="s">
        <v>241</v>
      </c>
      <c r="D45" s="43" t="s">
        <v>500</v>
      </c>
      <c r="E45" s="747"/>
      <c r="F45" s="747"/>
      <c r="G45" s="747"/>
      <c r="H45" s="747"/>
      <c r="I45" s="747"/>
      <c r="J45" s="745" t="str">
        <f>I44&amp;".1"</f>
        <v>...1.1</v>
      </c>
      <c r="L45" s="43" t="s">
        <v>409</v>
      </c>
      <c r="P45" s="748"/>
      <c r="Q45" s="748">
        <v>1</v>
      </c>
      <c r="R45" s="120"/>
      <c r="S45" s="24" t="str">
        <f>$J45</f>
        <v>...1.1</v>
      </c>
      <c r="T45" s="24" t="s">
        <v>410</v>
      </c>
      <c r="U45" s="29"/>
      <c r="V45" s="737"/>
      <c r="W45" s="738"/>
      <c r="X45" s="738"/>
      <c r="Y45" s="738"/>
      <c r="Z45" s="738"/>
      <c r="AA45" s="738"/>
      <c r="AB45" s="739"/>
      <c r="AC45" s="737"/>
      <c r="AD45" s="738"/>
      <c r="AE45" s="738"/>
      <c r="AF45" s="738"/>
      <c r="AG45" s="738"/>
      <c r="AH45" s="738"/>
      <c r="AI45" s="738"/>
      <c r="AJ45" s="739"/>
      <c r="AK45" s="445" t="s">
        <v>488</v>
      </c>
      <c r="AN45" s="46" t="str">
        <f t="shared" si="1"/>
        <v>Группа потребителей</v>
      </c>
      <c r="AQ45" s="4">
        <v>23</v>
      </c>
    </row>
    <row r="46" spans="1:43" ht="24" customHeight="1">
      <c r="A46" s="43" t="s">
        <v>239</v>
      </c>
      <c r="B46" s="43" t="s">
        <v>240</v>
      </c>
      <c r="C46" s="43" t="s">
        <v>241</v>
      </c>
      <c r="D46" s="43" t="s">
        <v>500</v>
      </c>
      <c r="E46" s="747"/>
      <c r="F46" s="747"/>
      <c r="G46" s="747"/>
      <c r="H46" s="747"/>
      <c r="I46" s="747"/>
      <c r="J46" s="747"/>
      <c r="K46" s="745" t="str">
        <f>J45&amp;".1"</f>
        <v>...1.1.1</v>
      </c>
      <c r="P46" s="748"/>
      <c r="Q46" s="748"/>
      <c r="R46" s="120">
        <v>1</v>
      </c>
      <c r="S46" s="24" t="str">
        <f>$K46</f>
        <v>...1.1.1</v>
      </c>
      <c r="T46" s="25"/>
      <c r="U46" s="29"/>
      <c r="V46" s="168"/>
      <c r="W46" s="168"/>
      <c r="X46" s="427"/>
      <c r="Y46" s="749"/>
      <c r="Z46" s="688" t="s">
        <v>66</v>
      </c>
      <c r="AA46" s="749"/>
      <c r="AB46" s="688" t="s">
        <v>66</v>
      </c>
      <c r="AC46" s="168"/>
      <c r="AD46" s="168"/>
      <c r="AE46" s="427"/>
      <c r="AF46" s="749"/>
      <c r="AG46" s="688" t="s">
        <v>66</v>
      </c>
      <c r="AH46" s="750"/>
      <c r="AI46" s="688" t="s">
        <v>66</v>
      </c>
      <c r="AJ46" s="474"/>
      <c r="AK46" s="79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6" t="e">
        <f ca="1">STRCHECKDATE(V47:AJ47)</f>
        <v>#NAME?</v>
      </c>
      <c r="AN46" s="46" t="str">
        <f t="shared" si="1"/>
        <v/>
      </c>
      <c r="AQ46" s="4">
        <v>23</v>
      </c>
    </row>
    <row r="47" spans="1:43" ht="0" hidden="1" customHeight="1">
      <c r="A47" s="43" t="s">
        <v>239</v>
      </c>
      <c r="B47" s="43" t="s">
        <v>240</v>
      </c>
      <c r="C47" s="43" t="s">
        <v>241</v>
      </c>
      <c r="D47" s="43" t="s">
        <v>500</v>
      </c>
      <c r="E47" s="747"/>
      <c r="F47" s="747"/>
      <c r="G47" s="747"/>
      <c r="H47" s="747"/>
      <c r="I47" s="747"/>
      <c r="J47" s="747"/>
      <c r="K47" s="745"/>
      <c r="P47" s="748"/>
      <c r="Q47" s="748"/>
      <c r="R47" s="120"/>
      <c r="S47" s="31"/>
      <c r="T47" s="29"/>
      <c r="U47" s="29"/>
      <c r="V47" s="110"/>
      <c r="W47" s="110"/>
      <c r="X47" s="111" t="str">
        <f>Y46&amp;"-"&amp;AA46</f>
        <v>-</v>
      </c>
      <c r="Y47" s="707"/>
      <c r="Z47" s="688"/>
      <c r="AA47" s="707"/>
      <c r="AB47" s="688"/>
      <c r="AC47" s="110"/>
      <c r="AD47" s="110"/>
      <c r="AE47" s="111" t="str">
        <f>AF46&amp;"-"&amp;AH46</f>
        <v>-</v>
      </c>
      <c r="AF47" s="707"/>
      <c r="AG47" s="688"/>
      <c r="AH47" s="751"/>
      <c r="AI47" s="688"/>
      <c r="AJ47" s="216"/>
      <c r="AK47" s="796"/>
      <c r="AN47" s="46" t="str">
        <f t="shared" si="1"/>
        <v/>
      </c>
      <c r="AQ47" s="4">
        <v>0</v>
      </c>
    </row>
    <row r="48" spans="1:43" ht="21" customHeight="1">
      <c r="A48" s="43" t="s">
        <v>239</v>
      </c>
      <c r="B48" s="43" t="s">
        <v>240</v>
      </c>
      <c r="C48" s="43" t="s">
        <v>241</v>
      </c>
      <c r="D48" s="43" t="s">
        <v>500</v>
      </c>
      <c r="E48" s="747"/>
      <c r="F48" s="747"/>
      <c r="G48" s="747"/>
      <c r="H48" s="747"/>
      <c r="I48" s="747"/>
      <c r="J48" s="745"/>
      <c r="P48" s="748"/>
      <c r="Q48" s="748"/>
      <c r="R48" s="120"/>
      <c r="S48" s="434"/>
      <c r="T48" s="37" t="s">
        <v>489</v>
      </c>
      <c r="U48" s="58"/>
      <c r="V48" s="58"/>
      <c r="W48" s="58"/>
      <c r="X48" s="58"/>
      <c r="Y48" s="58"/>
      <c r="Z48" s="58"/>
      <c r="AA48" s="58"/>
      <c r="AB48" s="58"/>
      <c r="AC48" s="58"/>
      <c r="AD48" s="58"/>
      <c r="AE48" s="58"/>
      <c r="AF48" s="58"/>
      <c r="AG48" s="58"/>
      <c r="AH48" s="58"/>
      <c r="AI48" s="58"/>
      <c r="AJ48" s="58"/>
      <c r="AK48" s="428" t="s">
        <v>490</v>
      </c>
      <c r="AN48" s="46" t="str">
        <f t="shared" si="1"/>
        <v>Добавить значение признака дифференциации</v>
      </c>
      <c r="AQ48" s="4">
        <v>20</v>
      </c>
    </row>
    <row r="49" spans="1:43" ht="21.95" customHeight="1">
      <c r="A49" s="43" t="s">
        <v>239</v>
      </c>
      <c r="B49" s="43" t="s">
        <v>240</v>
      </c>
      <c r="C49" s="43" t="s">
        <v>241</v>
      </c>
      <c r="D49" s="43" t="s">
        <v>500</v>
      </c>
      <c r="E49" s="747"/>
      <c r="F49" s="747"/>
      <c r="G49" s="747"/>
      <c r="H49" s="747"/>
      <c r="I49" s="745"/>
      <c r="P49" s="748"/>
      <c r="Q49" s="46"/>
      <c r="R49" s="120"/>
      <c r="S49" s="434"/>
      <c r="T49" s="37" t="s">
        <v>415</v>
      </c>
      <c r="U49" s="58"/>
      <c r="V49" s="58"/>
      <c r="W49" s="58"/>
      <c r="X49" s="58"/>
      <c r="Y49" s="58"/>
      <c r="Z49" s="58"/>
      <c r="AA49" s="58"/>
      <c r="AB49" s="54"/>
      <c r="AC49" s="58"/>
      <c r="AD49" s="58"/>
      <c r="AE49" s="58"/>
      <c r="AF49" s="58"/>
      <c r="AG49" s="58"/>
      <c r="AH49" s="58"/>
      <c r="AI49" s="54"/>
      <c r="AJ49" s="58"/>
      <c r="AK49" s="475"/>
      <c r="AN49" s="46" t="str">
        <f t="shared" si="1"/>
        <v>Добавить группу потребителей</v>
      </c>
      <c r="AQ49" s="4">
        <v>21</v>
      </c>
    </row>
    <row r="50" spans="1:43" ht="21.95" customHeight="1">
      <c r="A50" s="43" t="s">
        <v>239</v>
      </c>
      <c r="B50" s="43" t="s">
        <v>240</v>
      </c>
      <c r="C50" s="43" t="s">
        <v>241</v>
      </c>
      <c r="D50" s="43" t="s">
        <v>500</v>
      </c>
      <c r="E50" s="747"/>
      <c r="F50" s="747"/>
      <c r="G50" s="747"/>
      <c r="H50" s="745"/>
      <c r="M50" s="43"/>
      <c r="N50" s="43"/>
      <c r="O50" s="43"/>
      <c r="P50" s="4"/>
      <c r="R50" s="119"/>
      <c r="S50" s="434"/>
      <c r="T50" s="37" t="s">
        <v>491</v>
      </c>
      <c r="U50" s="58"/>
      <c r="V50" s="58"/>
      <c r="W50" s="58"/>
      <c r="X50" s="58"/>
      <c r="Y50" s="58"/>
      <c r="Z50" s="58"/>
      <c r="AA50" s="58"/>
      <c r="AB50" s="54"/>
      <c r="AC50" s="58"/>
      <c r="AD50" s="58"/>
      <c r="AE50" s="58"/>
      <c r="AF50" s="58"/>
      <c r="AG50" s="58"/>
      <c r="AH50" s="58"/>
      <c r="AI50" s="54"/>
      <c r="AJ50" s="58"/>
      <c r="AK50" s="102"/>
      <c r="AN50" s="46" t="str">
        <f t="shared" si="1"/>
        <v>Добавить наименование признака дифференциации</v>
      </c>
      <c r="AQ50" s="4">
        <v>21</v>
      </c>
    </row>
    <row r="51" spans="1:43" s="46" customFormat="1" ht="0" hidden="1" customHeight="1">
      <c r="A51" s="46" t="s">
        <v>239</v>
      </c>
      <c r="B51" s="46" t="s">
        <v>240</v>
      </c>
      <c r="E51" s="747"/>
      <c r="F51" s="745"/>
      <c r="M51" s="160"/>
      <c r="N51" s="160"/>
      <c r="Q51" s="446"/>
      <c r="S51" s="449"/>
      <c r="T51" s="160" t="s">
        <v>418</v>
      </c>
      <c r="U51" s="160"/>
      <c r="V51" s="160"/>
      <c r="W51" s="160"/>
      <c r="X51" s="160"/>
      <c r="Y51" s="160"/>
      <c r="Z51" s="160"/>
      <c r="AA51" s="160"/>
      <c r="AB51" s="160"/>
      <c r="AC51" s="160"/>
      <c r="AD51" s="160"/>
      <c r="AE51" s="160"/>
      <c r="AF51" s="160"/>
      <c r="AG51" s="160"/>
      <c r="AH51" s="160"/>
      <c r="AI51" s="160"/>
      <c r="AJ51" s="160"/>
      <c r="AK51" s="160"/>
      <c r="AN51" s="46" t="str">
        <f t="shared" si="1"/>
        <v>Добавить централизованную систему для дифференциации</v>
      </c>
      <c r="AQ51" s="46">
        <v>0</v>
      </c>
    </row>
    <row r="52" spans="1:43" s="46" customFormat="1" ht="0" hidden="1" customHeight="1">
      <c r="A52" s="46" t="s">
        <v>239</v>
      </c>
      <c r="E52" s="745"/>
      <c r="M52" s="160"/>
      <c r="N52" s="160"/>
      <c r="Q52" s="446"/>
      <c r="S52" s="449"/>
      <c r="T52" s="160" t="s">
        <v>419</v>
      </c>
      <c r="U52" s="160"/>
      <c r="V52" s="160"/>
      <c r="W52" s="160"/>
      <c r="X52" s="160"/>
      <c r="Y52" s="160"/>
      <c r="Z52" s="160"/>
      <c r="AA52" s="160"/>
      <c r="AB52" s="160"/>
      <c r="AC52" s="160"/>
      <c r="AD52" s="160"/>
      <c r="AE52" s="160"/>
      <c r="AF52" s="160"/>
      <c r="AG52" s="160"/>
      <c r="AH52" s="160"/>
      <c r="AI52" s="160"/>
      <c r="AJ52" s="160"/>
      <c r="AK52" s="160"/>
      <c r="AN52" s="46" t="str">
        <f t="shared" si="1"/>
        <v>Добавить территорию для дифференциации</v>
      </c>
      <c r="AQ52" s="46">
        <v>0</v>
      </c>
    </row>
    <row r="53" spans="1:43" s="46" customFormat="1" ht="0" hidden="1" customHeight="1">
      <c r="M53" s="160"/>
      <c r="N53" s="160"/>
      <c r="Q53" s="446"/>
      <c r="S53" s="449"/>
      <c r="T53" s="160" t="s">
        <v>451</v>
      </c>
      <c r="U53" s="160"/>
      <c r="V53" s="160"/>
      <c r="W53" s="160"/>
      <c r="X53" s="160"/>
      <c r="Y53" s="160"/>
      <c r="Z53" s="160"/>
      <c r="AA53" s="160"/>
      <c r="AB53" s="160"/>
      <c r="AC53" s="160"/>
      <c r="AD53" s="160"/>
      <c r="AE53" s="160"/>
      <c r="AF53" s="160"/>
      <c r="AG53" s="160"/>
      <c r="AH53" s="160"/>
      <c r="AI53" s="160"/>
      <c r="AJ53" s="160"/>
      <c r="AK53" s="160"/>
      <c r="AN53" s="46" t="str">
        <f t="shared" si="1"/>
        <v>Добавить наименование тарифа</v>
      </c>
      <c r="AQ53" s="46">
        <v>0</v>
      </c>
    </row>
    <row r="54" spans="1:43" ht="11.45" customHeight="1">
      <c r="M54" s="43"/>
      <c r="N54" s="43"/>
      <c r="O54" s="43"/>
      <c r="P54" s="4"/>
      <c r="Q54" s="4"/>
      <c r="R54" s="4"/>
      <c r="AL54" s="4"/>
      <c r="AM54" s="4"/>
      <c r="AN54" s="4"/>
      <c r="AO54" s="4"/>
      <c r="AP54" s="4"/>
      <c r="AQ54" s="4">
        <v>11</v>
      </c>
    </row>
    <row r="55" spans="1:43" ht="14.65" customHeight="1">
      <c r="O55" s="43"/>
      <c r="T55" s="665"/>
      <c r="U55" s="665"/>
      <c r="V55" s="665"/>
      <c r="W55" s="665"/>
      <c r="X55" s="665"/>
      <c r="Y55" s="665"/>
      <c r="Z55" s="665"/>
      <c r="AA55" s="665"/>
      <c r="AB55" s="665"/>
      <c r="AC55" s="665"/>
      <c r="AD55" s="665"/>
      <c r="AE55" s="665"/>
      <c r="AF55" s="665"/>
      <c r="AG55" s="665"/>
      <c r="AH55" s="665"/>
      <c r="AI55" s="665"/>
      <c r="AJ55" s="665"/>
      <c r="AK55" s="665"/>
      <c r="AQ55" s="4">
        <v>14</v>
      </c>
    </row>
    <row r="56" spans="1:43" ht="14.65" customHeight="1">
      <c r="O56" s="43"/>
      <c r="AQ56" s="4">
        <v>14</v>
      </c>
    </row>
    <row r="57" spans="1:43" ht="14.65" customHeight="1">
      <c r="O57" s="43"/>
      <c r="T57" s="665"/>
      <c r="U57" s="665"/>
      <c r="V57" s="665"/>
      <c r="W57" s="665"/>
      <c r="X57" s="665"/>
      <c r="Y57" s="665"/>
      <c r="Z57" s="665"/>
      <c r="AA57" s="665"/>
      <c r="AB57" s="665"/>
      <c r="AC57" s="665"/>
      <c r="AD57" s="665"/>
      <c r="AE57" s="665"/>
      <c r="AF57" s="665"/>
      <c r="AG57" s="665"/>
      <c r="AH57" s="665"/>
      <c r="AI57" s="665"/>
      <c r="AJ57" s="665"/>
      <c r="AK57" s="665"/>
      <c r="AQ57" s="4">
        <v>14</v>
      </c>
    </row>
    <row r="58" spans="1:43" ht="22.5" hidden="1" customHeight="1">
      <c r="A58" s="43" t="s">
        <v>82</v>
      </c>
      <c r="B58" s="43">
        <v>0</v>
      </c>
      <c r="C58" s="43">
        <v>0</v>
      </c>
      <c r="D58" s="43">
        <v>0</v>
      </c>
      <c r="E58" s="43">
        <v>0</v>
      </c>
      <c r="F58" s="43">
        <v>0</v>
      </c>
      <c r="G58" s="43">
        <v>0</v>
      </c>
      <c r="H58" s="43">
        <v>0</v>
      </c>
      <c r="I58" s="43">
        <v>0</v>
      </c>
      <c r="J58" s="43">
        <v>0</v>
      </c>
      <c r="K58" s="43">
        <v>0</v>
      </c>
      <c r="L58" s="43">
        <v>0</v>
      </c>
      <c r="M58" s="167">
        <v>0</v>
      </c>
      <c r="N58" s="167">
        <v>0</v>
      </c>
      <c r="O58" s="167">
        <v>0</v>
      </c>
      <c r="P58" s="23">
        <v>3</v>
      </c>
      <c r="Q58" s="20">
        <v>3</v>
      </c>
      <c r="R58" s="20">
        <v>3</v>
      </c>
      <c r="S58" s="4">
        <v>12</v>
      </c>
      <c r="T58" s="4">
        <v>35</v>
      </c>
      <c r="U58" s="4">
        <v>0</v>
      </c>
      <c r="V58" s="4">
        <v>0</v>
      </c>
      <c r="W58" s="4">
        <v>0</v>
      </c>
      <c r="X58" s="4">
        <v>0</v>
      </c>
      <c r="Y58" s="4">
        <v>0</v>
      </c>
      <c r="Z58" s="4">
        <v>0</v>
      </c>
      <c r="AA58" s="4">
        <v>0</v>
      </c>
      <c r="AB58" s="4">
        <v>0</v>
      </c>
      <c r="AC58" s="4">
        <v>24</v>
      </c>
      <c r="AD58" s="4">
        <v>24</v>
      </c>
      <c r="AE58" s="4">
        <v>24</v>
      </c>
      <c r="AF58" s="4">
        <v>11</v>
      </c>
      <c r="AG58" s="4">
        <v>3</v>
      </c>
      <c r="AH58" s="4">
        <v>11</v>
      </c>
      <c r="AI58" s="4">
        <v>0</v>
      </c>
      <c r="AJ58" s="4">
        <v>4</v>
      </c>
      <c r="AK58" s="4">
        <v>115</v>
      </c>
      <c r="AL58" s="46">
        <v>10</v>
      </c>
      <c r="AM58" s="46">
        <v>10</v>
      </c>
      <c r="AN58" s="46">
        <v>10</v>
      </c>
      <c r="AO58" s="46">
        <v>10</v>
      </c>
      <c r="AP58" s="46">
        <v>10</v>
      </c>
      <c r="AQ58" s="4">
        <v>23</v>
      </c>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xr:uid="{00000000-0002-0000-1600-000000000000}">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xr:uid="{00000000-0002-0000-1600-000001000000}"/>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xr:uid="{00000000-0002-0000-1600-00000200000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xr:uid="{00000000-0002-0000-1600-000003000000}"/>
    <dataValidation type="list" allowBlank="1" showInputMessage="1" showErrorMessage="1" errorTitle="Ошибка" error="Выберите значение из списка" sqref="T65578 T131114 T196650 T262186 T327722 T393258 T458794 T524330 T589866 T655402 T720938 T786474 T852010 T917546 T983082" xr:uid="{00000000-0002-0000-1600-000004000000}">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xr:uid="{00000000-0002-0000-1600-000005000000}">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xr:uid="{00000000-0002-0000-1600-000006000000}">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xr:uid="{00000000-0002-0000-1600-00000700000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DFB044-6A4A-EB04-CAEB-6E59CF2B9E17}">
  <sheetPr>
    <tabColor theme="6" tint="0.39997558519241921"/>
  </sheetPr>
  <dimension ref="A1:AQ58"/>
  <sheetViews>
    <sheetView showGridLines="0" zoomScale="90" workbookViewId="0">
      <pane xSplit="28" ySplit="40" topLeftCell="AC41" activePane="bottomRight" state="frozen"/>
      <selection pane="topRight" activeCell="AC1" sqref="AC1"/>
      <selection pane="bottomLeft" activeCell="A41" sqref="A41"/>
      <selection pane="bottomRight"/>
    </sheetView>
  </sheetViews>
  <sheetFormatPr defaultColWidth="10.5703125" defaultRowHeight="14.25" customHeight="1"/>
  <cols>
    <col min="1" max="1" width="10.5703125" style="43" hidden="1"/>
    <col min="2" max="2" width="11" style="43" hidden="1" customWidth="1"/>
    <col min="3" max="3" width="10.5703125" style="43" hidden="1"/>
    <col min="4" max="4" width="11.85546875" style="43" hidden="1" customWidth="1"/>
    <col min="5" max="5" width="10" style="43" hidden="1" customWidth="1"/>
    <col min="6" max="6" width="8.7109375" style="43" hidden="1" customWidth="1"/>
    <col min="7" max="7" width="7.5703125" style="43" hidden="1" customWidth="1"/>
    <col min="8" max="8" width="11.42578125" style="43" hidden="1" customWidth="1"/>
    <col min="9" max="9" width="14.140625" style="43" hidden="1" customWidth="1"/>
    <col min="10" max="10" width="9.85546875" style="43" hidden="1" customWidth="1"/>
    <col min="11" max="11" width="14.7109375" style="43" hidden="1" customWidth="1"/>
    <col min="12" max="12" width="19.140625" style="43" hidden="1" customWidth="1"/>
    <col min="13" max="14" width="12.28515625" style="167" hidden="1" customWidth="1"/>
    <col min="15" max="15" width="23.42578125" style="167" hidden="1" customWidth="1"/>
    <col min="16" max="16" width="3" style="23" customWidth="1"/>
    <col min="17" max="18" width="3" style="20" customWidth="1"/>
    <col min="19" max="19" width="12" style="4" customWidth="1"/>
    <col min="20" max="20" width="35" style="4" customWidth="1"/>
    <col min="21" max="21" width="0.140625" style="4" customWidth="1"/>
    <col min="22" max="24" width="24.7109375" style="4" hidden="1" customWidth="1"/>
    <col min="25" max="25" width="11.7109375" style="4" hidden="1" customWidth="1"/>
    <col min="26" max="26" width="3.7109375" style="4" hidden="1" customWidth="1"/>
    <col min="27" max="27" width="11.7109375" style="4" hidden="1" customWidth="1"/>
    <col min="28" max="28" width="8.5703125" style="4" hidden="1" customWidth="1"/>
    <col min="29" max="29" width="24.7109375" style="4" customWidth="1"/>
    <col min="30" max="31" width="24" style="4" customWidth="1"/>
    <col min="32" max="32" width="11" style="4" customWidth="1"/>
    <col min="33" max="33" width="3.7109375" style="4" customWidth="1"/>
    <col min="34" max="34" width="11" style="4" customWidth="1"/>
    <col min="35" max="35" width="8.5703125" style="4" hidden="1" customWidth="1"/>
    <col min="36" max="36" width="4" style="4" customWidth="1"/>
    <col min="37" max="37" width="115" style="4" customWidth="1"/>
    <col min="38" max="42" width="10" style="46" customWidth="1"/>
    <col min="43" max="43" width="10.5703125" style="4" hidden="1"/>
  </cols>
  <sheetData>
    <row r="1" spans="5:43" ht="22.5" hidden="1" customHeight="1">
      <c r="AQ1" s="4" t="s">
        <v>14</v>
      </c>
    </row>
    <row r="2" spans="5:43" ht="23.25" hidden="1" customHeight="1">
      <c r="E2" s="745">
        <v>1</v>
      </c>
      <c r="M2" s="43"/>
      <c r="N2" s="43"/>
      <c r="O2" s="43"/>
      <c r="Q2" s="4"/>
      <c r="R2" s="119"/>
      <c r="S2" s="24" t="e">
        <f>INDEX(PT_DIFFERENTIATION_NUM_NTAR,MATCH(A2,PT_DIFFERENTIATION_NTAR_ID,0))</f>
        <v>#N/A</v>
      </c>
      <c r="T2" s="29" t="s">
        <v>128</v>
      </c>
      <c r="U2" s="29"/>
      <c r="V2" s="742"/>
      <c r="W2" s="743"/>
      <c r="X2" s="743"/>
      <c r="Y2" s="743"/>
      <c r="Z2" s="743"/>
      <c r="AA2" s="743"/>
      <c r="AB2" s="744"/>
      <c r="AC2" s="742" t="e">
        <f>INDEX(PT_DIFFERENTIATION_NTAR,MATCH(A2,PT_DIFFERENTIATION_NTAR_ID,0))</f>
        <v>#N/A</v>
      </c>
      <c r="AD2" s="743"/>
      <c r="AE2" s="743"/>
      <c r="AF2" s="743"/>
      <c r="AG2" s="743"/>
      <c r="AH2" s="743"/>
      <c r="AI2" s="743"/>
      <c r="AJ2" s="744"/>
      <c r="AK2" s="4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N2" s="46" t="str">
        <f t="shared" ref="AN2:AN13" si="0">IF(T2="","",T2)</f>
        <v>Наименование тарифа</v>
      </c>
      <c r="AQ2" s="4">
        <v>0</v>
      </c>
    </row>
    <row r="3" spans="5:43" ht="23.25" hidden="1" customHeight="1">
      <c r="E3" s="747"/>
      <c r="F3" s="745">
        <v>1</v>
      </c>
      <c r="M3" s="43"/>
      <c r="N3" s="43"/>
      <c r="O3" s="43"/>
      <c r="P3" s="4"/>
      <c r="Q3" s="118"/>
      <c r="R3" s="119"/>
      <c r="S3" s="24" t="e">
        <f>INDEX(PT_DIFFERENTIATION_NUM_TER,MATCH(B3,PT_DIFFERENTIATION_TER_ID,0))</f>
        <v>#N/A</v>
      </c>
      <c r="T3" s="24" t="s">
        <v>400</v>
      </c>
      <c r="U3" s="29"/>
      <c r="V3" s="742"/>
      <c r="W3" s="743"/>
      <c r="X3" s="743"/>
      <c r="Y3" s="743"/>
      <c r="Z3" s="743"/>
      <c r="AA3" s="743"/>
      <c r="AB3" s="744"/>
      <c r="AC3" s="742" t="e">
        <f>INDEX(PT_DIFFERENTIATION_TER,MATCH(B3,PT_DIFFERENTIATION_TER_ID,0))</f>
        <v>#N/A</v>
      </c>
      <c r="AD3" s="743"/>
      <c r="AE3" s="743"/>
      <c r="AF3" s="743"/>
      <c r="AG3" s="743"/>
      <c r="AH3" s="743"/>
      <c r="AI3" s="743"/>
      <c r="AJ3" s="744"/>
      <c r="AK3" s="428" t="s">
        <v>401</v>
      </c>
      <c r="AN3" s="46" t="str">
        <f t="shared" si="0"/>
        <v>Территория действия тарифа</v>
      </c>
      <c r="AQ3" s="4">
        <v>0</v>
      </c>
    </row>
    <row r="4" spans="5:43" ht="23.25" hidden="1" customHeight="1">
      <c r="E4" s="747"/>
      <c r="F4" s="747"/>
      <c r="G4" s="745">
        <v>1</v>
      </c>
      <c r="M4" s="43"/>
      <c r="N4" s="43"/>
      <c r="O4" s="43"/>
      <c r="P4" s="16"/>
      <c r="Q4" s="118"/>
      <c r="R4" s="119"/>
      <c r="S4" s="24" t="e">
        <f>INDEX(PT_DIFFERENTIATION_NUM_CS,MATCH(C4,PT_DIFFERENTIATION_CS_ID,0))</f>
        <v>#N/A</v>
      </c>
      <c r="T4" s="24" t="s">
        <v>484</v>
      </c>
      <c r="U4" s="29"/>
      <c r="V4" s="742"/>
      <c r="W4" s="743"/>
      <c r="X4" s="743"/>
      <c r="Y4" s="743"/>
      <c r="Z4" s="743"/>
      <c r="AA4" s="743"/>
      <c r="AB4" s="744"/>
      <c r="AC4" s="742" t="e">
        <f>INDEX(PT_DIFFERENTIATION_CS,MATCH(C4,PT_DIFFERENTIATION_CS_ID,0))</f>
        <v>#N/A</v>
      </c>
      <c r="AD4" s="743"/>
      <c r="AE4" s="743"/>
      <c r="AF4" s="743"/>
      <c r="AG4" s="743"/>
      <c r="AH4" s="743"/>
      <c r="AI4" s="743"/>
      <c r="AJ4" s="744"/>
      <c r="AK4" s="428" t="s">
        <v>485</v>
      </c>
      <c r="AN4" s="46" t="str">
        <f t="shared" si="0"/>
        <v>Наименование централизованной системы холодного водоснабжения</v>
      </c>
      <c r="AQ4" s="4">
        <v>0</v>
      </c>
    </row>
    <row r="5" spans="5:43" ht="23.25" hidden="1" customHeight="1">
      <c r="E5" s="747"/>
      <c r="F5" s="747"/>
      <c r="G5" s="747"/>
      <c r="H5" s="747"/>
      <c r="I5" s="745" t="e">
        <f>S4&amp;".1"</f>
        <v>#N/A</v>
      </c>
      <c r="P5" s="748">
        <v>1</v>
      </c>
      <c r="Q5" s="46"/>
      <c r="R5" s="120"/>
      <c r="S5" s="24" t="e">
        <f>$I5</f>
        <v>#N/A</v>
      </c>
      <c r="T5" s="24" t="s">
        <v>486</v>
      </c>
      <c r="U5" s="29"/>
      <c r="V5" s="793"/>
      <c r="W5" s="794"/>
      <c r="X5" s="794"/>
      <c r="Y5" s="794"/>
      <c r="Z5" s="794"/>
      <c r="AA5" s="794"/>
      <c r="AB5" s="795"/>
      <c r="AC5" s="793"/>
      <c r="AD5" s="794"/>
      <c r="AE5" s="794"/>
      <c r="AF5" s="794"/>
      <c r="AG5" s="794"/>
      <c r="AH5" s="794"/>
      <c r="AI5" s="794"/>
      <c r="AJ5" s="795"/>
      <c r="AK5" s="428" t="s">
        <v>487</v>
      </c>
      <c r="AN5" s="46" t="str">
        <f t="shared" si="0"/>
        <v>Наименование признака дифференциации</v>
      </c>
      <c r="AQ5" s="4">
        <v>0</v>
      </c>
    </row>
    <row r="6" spans="5:43" ht="23.25" hidden="1" customHeight="1">
      <c r="E6" s="747"/>
      <c r="F6" s="747"/>
      <c r="G6" s="747"/>
      <c r="H6" s="747"/>
      <c r="I6" s="747"/>
      <c r="J6" s="745" t="e">
        <f>I5&amp;".1"</f>
        <v>#N/A</v>
      </c>
      <c r="L6" s="43" t="s">
        <v>409</v>
      </c>
      <c r="P6" s="748"/>
      <c r="Q6" s="748">
        <v>1</v>
      </c>
      <c r="R6" s="120"/>
      <c r="S6" s="24" t="e">
        <f>$J6</f>
        <v>#N/A</v>
      </c>
      <c r="T6" s="24" t="s">
        <v>410</v>
      </c>
      <c r="U6" s="29"/>
      <c r="V6" s="737"/>
      <c r="W6" s="738"/>
      <c r="X6" s="738"/>
      <c r="Y6" s="738"/>
      <c r="Z6" s="738"/>
      <c r="AA6" s="738"/>
      <c r="AB6" s="739"/>
      <c r="AC6" s="737"/>
      <c r="AD6" s="738"/>
      <c r="AE6" s="738"/>
      <c r="AF6" s="738"/>
      <c r="AG6" s="738"/>
      <c r="AH6" s="738"/>
      <c r="AI6" s="738"/>
      <c r="AJ6" s="739"/>
      <c r="AK6" s="445" t="s">
        <v>488</v>
      </c>
      <c r="AN6" s="46" t="str">
        <f t="shared" si="0"/>
        <v>Группа потребителей</v>
      </c>
      <c r="AQ6" s="4">
        <v>0</v>
      </c>
    </row>
    <row r="7" spans="5:43" ht="23.25" hidden="1" customHeight="1">
      <c r="E7" s="747"/>
      <c r="F7" s="747"/>
      <c r="G7" s="747"/>
      <c r="H7" s="747"/>
      <c r="I7" s="747"/>
      <c r="J7" s="747"/>
      <c r="K7" s="745" t="e">
        <f>J6&amp;".1"</f>
        <v>#N/A</v>
      </c>
      <c r="P7" s="748"/>
      <c r="Q7" s="748"/>
      <c r="R7" s="120">
        <v>1</v>
      </c>
      <c r="S7" s="24" t="e">
        <f>$K7</f>
        <v>#N/A</v>
      </c>
      <c r="T7" s="25"/>
      <c r="U7" s="29"/>
      <c r="V7" s="168"/>
      <c r="W7" s="168"/>
      <c r="X7" s="427"/>
      <c r="Y7" s="749"/>
      <c r="Z7" s="688" t="s">
        <v>66</v>
      </c>
      <c r="AA7" s="749"/>
      <c r="AB7" s="688" t="s">
        <v>66</v>
      </c>
      <c r="AC7" s="168"/>
      <c r="AD7" s="168"/>
      <c r="AE7" s="427"/>
      <c r="AF7" s="749"/>
      <c r="AG7" s="688" t="s">
        <v>66</v>
      </c>
      <c r="AH7" s="750"/>
      <c r="AI7" s="688" t="s">
        <v>66</v>
      </c>
      <c r="AJ7" s="474"/>
      <c r="AK7" s="79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6" t="e">
        <f ca="1">STRCHECKDATE(V8:AJ8)</f>
        <v>#NAME?</v>
      </c>
      <c r="AN7" s="46" t="str">
        <f t="shared" si="0"/>
        <v/>
      </c>
      <c r="AQ7" s="4">
        <v>0</v>
      </c>
    </row>
    <row r="8" spans="5:43" ht="14.25" hidden="1" customHeight="1">
      <c r="E8" s="747"/>
      <c r="F8" s="747"/>
      <c r="G8" s="747"/>
      <c r="H8" s="747"/>
      <c r="I8" s="747"/>
      <c r="J8" s="747"/>
      <c r="K8" s="745"/>
      <c r="P8" s="748"/>
      <c r="Q8" s="748"/>
      <c r="R8" s="120"/>
      <c r="S8" s="31"/>
      <c r="T8" s="29"/>
      <c r="U8" s="29"/>
      <c r="V8" s="110"/>
      <c r="W8" s="110"/>
      <c r="X8" s="111" t="str">
        <f>Y7&amp;"-"&amp;AA7</f>
        <v>-</v>
      </c>
      <c r="Y8" s="707"/>
      <c r="Z8" s="688"/>
      <c r="AA8" s="707"/>
      <c r="AB8" s="688"/>
      <c r="AC8" s="110"/>
      <c r="AD8" s="110"/>
      <c r="AE8" s="111" t="str">
        <f>AF7&amp;"-"&amp;AH7</f>
        <v>-</v>
      </c>
      <c r="AF8" s="707"/>
      <c r="AG8" s="688"/>
      <c r="AH8" s="751"/>
      <c r="AI8" s="688"/>
      <c r="AJ8" s="216"/>
      <c r="AK8" s="796"/>
      <c r="AN8" s="46" t="str">
        <f t="shared" si="0"/>
        <v/>
      </c>
      <c r="AQ8" s="4">
        <v>0</v>
      </c>
    </row>
    <row r="9" spans="5:43" ht="21" hidden="1" customHeight="1">
      <c r="E9" s="747"/>
      <c r="F9" s="747"/>
      <c r="G9" s="747"/>
      <c r="H9" s="747"/>
      <c r="I9" s="747"/>
      <c r="J9" s="745"/>
      <c r="P9" s="748"/>
      <c r="Q9" s="748"/>
      <c r="R9" s="120"/>
      <c r="S9" s="434"/>
      <c r="T9" s="37" t="s">
        <v>489</v>
      </c>
      <c r="U9" s="58"/>
      <c r="V9" s="58"/>
      <c r="W9" s="58"/>
      <c r="X9" s="58"/>
      <c r="Y9" s="58"/>
      <c r="Z9" s="58"/>
      <c r="AA9" s="58"/>
      <c r="AB9" s="58"/>
      <c r="AC9" s="58"/>
      <c r="AD9" s="58"/>
      <c r="AE9" s="58"/>
      <c r="AF9" s="58"/>
      <c r="AG9" s="58"/>
      <c r="AH9" s="58"/>
      <c r="AI9" s="58"/>
      <c r="AJ9" s="58"/>
      <c r="AK9" s="428" t="s">
        <v>490</v>
      </c>
      <c r="AN9" s="46" t="str">
        <f t="shared" si="0"/>
        <v>Добавить значение признака дифференциации</v>
      </c>
      <c r="AQ9" s="4">
        <v>0</v>
      </c>
    </row>
    <row r="10" spans="5:43" ht="21" hidden="1" customHeight="1">
      <c r="E10" s="747"/>
      <c r="F10" s="747"/>
      <c r="G10" s="747"/>
      <c r="H10" s="747"/>
      <c r="I10" s="745"/>
      <c r="P10" s="748"/>
      <c r="Q10" s="46"/>
      <c r="R10" s="120"/>
      <c r="S10" s="434"/>
      <c r="T10" s="37" t="s">
        <v>415</v>
      </c>
      <c r="U10" s="58"/>
      <c r="V10" s="58"/>
      <c r="W10" s="58"/>
      <c r="X10" s="58"/>
      <c r="Y10" s="58"/>
      <c r="Z10" s="58"/>
      <c r="AA10" s="58"/>
      <c r="AB10" s="54"/>
      <c r="AC10" s="58"/>
      <c r="AD10" s="58"/>
      <c r="AE10" s="58"/>
      <c r="AF10" s="58"/>
      <c r="AG10" s="58"/>
      <c r="AH10" s="58"/>
      <c r="AI10" s="54"/>
      <c r="AJ10" s="58"/>
      <c r="AK10" s="475"/>
      <c r="AN10" s="46" t="str">
        <f t="shared" si="0"/>
        <v>Добавить группу потребителей</v>
      </c>
      <c r="AQ10" s="4">
        <v>0</v>
      </c>
    </row>
    <row r="11" spans="5:43" ht="21" hidden="1" customHeight="1">
      <c r="E11" s="747"/>
      <c r="F11" s="747"/>
      <c r="G11" s="747"/>
      <c r="H11" s="745"/>
      <c r="M11" s="43"/>
      <c r="N11" s="43"/>
      <c r="O11" s="43"/>
      <c r="P11" s="4"/>
      <c r="R11" s="119"/>
      <c r="S11" s="434"/>
      <c r="T11" s="37" t="s">
        <v>491</v>
      </c>
      <c r="U11" s="58"/>
      <c r="V11" s="58"/>
      <c r="W11" s="58"/>
      <c r="X11" s="58"/>
      <c r="Y11" s="58"/>
      <c r="Z11" s="58"/>
      <c r="AA11" s="58"/>
      <c r="AB11" s="54"/>
      <c r="AC11" s="58"/>
      <c r="AD11" s="58"/>
      <c r="AE11" s="58"/>
      <c r="AF11" s="58"/>
      <c r="AG11" s="58"/>
      <c r="AH11" s="58"/>
      <c r="AI11" s="54"/>
      <c r="AJ11" s="58"/>
      <c r="AK11" s="102"/>
      <c r="AN11" s="46" t="str">
        <f t="shared" si="0"/>
        <v>Добавить наименование признака дифференциации</v>
      </c>
      <c r="AQ11" s="4">
        <v>0</v>
      </c>
    </row>
    <row r="12" spans="5:43" s="46" customFormat="1" ht="14.25" hidden="1" customHeight="1">
      <c r="E12" s="747"/>
      <c r="F12" s="745"/>
      <c r="M12" s="160"/>
      <c r="N12" s="160"/>
      <c r="Q12" s="446"/>
      <c r="S12" s="449"/>
      <c r="T12" s="160" t="s">
        <v>418</v>
      </c>
      <c r="U12" s="160"/>
      <c r="V12" s="160"/>
      <c r="W12" s="160"/>
      <c r="X12" s="160"/>
      <c r="Y12" s="160"/>
      <c r="Z12" s="160"/>
      <c r="AA12" s="160"/>
      <c r="AB12" s="160"/>
      <c r="AC12" s="160"/>
      <c r="AD12" s="160"/>
      <c r="AE12" s="160"/>
      <c r="AF12" s="160"/>
      <c r="AG12" s="160"/>
      <c r="AH12" s="160"/>
      <c r="AI12" s="160"/>
      <c r="AJ12" s="160"/>
      <c r="AK12" s="160"/>
      <c r="AN12" s="46" t="str">
        <f t="shared" si="0"/>
        <v>Добавить централизованную систему для дифференциации</v>
      </c>
      <c r="AQ12" s="46">
        <v>0</v>
      </c>
    </row>
    <row r="13" spans="5:43" s="46" customFormat="1" ht="14.25" hidden="1" customHeight="1">
      <c r="E13" s="745"/>
      <c r="M13" s="160"/>
      <c r="N13" s="160"/>
      <c r="Q13" s="446"/>
      <c r="S13" s="449"/>
      <c r="T13" s="160" t="s">
        <v>419</v>
      </c>
      <c r="U13" s="160"/>
      <c r="V13" s="160"/>
      <c r="W13" s="160"/>
      <c r="X13" s="160"/>
      <c r="Y13" s="160"/>
      <c r="Z13" s="160"/>
      <c r="AA13" s="160"/>
      <c r="AB13" s="160"/>
      <c r="AC13" s="160"/>
      <c r="AD13" s="160"/>
      <c r="AE13" s="160"/>
      <c r="AF13" s="160"/>
      <c r="AG13" s="160"/>
      <c r="AH13" s="160"/>
      <c r="AI13" s="160"/>
      <c r="AJ13" s="160"/>
      <c r="AK13" s="160"/>
      <c r="AN13" s="46" t="str">
        <f t="shared" si="0"/>
        <v>Добавить территорию для дифференциации</v>
      </c>
      <c r="AQ13" s="46">
        <v>0</v>
      </c>
    </row>
    <row r="14" spans="5:43" ht="14.25" hidden="1" customHeight="1">
      <c r="AQ14" s="4">
        <v>0</v>
      </c>
    </row>
    <row r="15" spans="5:43" ht="14.25" hidden="1" customHeight="1">
      <c r="AC15" s="205"/>
      <c r="AD15" s="205"/>
      <c r="AE15" s="451"/>
      <c r="AF15" s="746"/>
      <c r="AG15" s="745" t="s">
        <v>66</v>
      </c>
      <c r="AH15" s="746"/>
      <c r="AI15" s="745" t="s">
        <v>66</v>
      </c>
      <c r="AQ15" s="4">
        <v>0</v>
      </c>
    </row>
    <row r="16" spans="5:43" ht="14.25" hidden="1" customHeight="1">
      <c r="AC16" s="205"/>
      <c r="AD16" s="205"/>
      <c r="AE16" s="111" t="str">
        <f>AF15&amp;"-"&amp;AH15</f>
        <v>-</v>
      </c>
      <c r="AF16" s="745"/>
      <c r="AG16" s="745"/>
      <c r="AH16" s="745"/>
      <c r="AI16" s="745"/>
      <c r="AQ16" s="4">
        <v>0</v>
      </c>
    </row>
    <row r="17" spans="1:43" ht="14.25" hidden="1" customHeight="1">
      <c r="AQ17" s="4">
        <v>0</v>
      </c>
    </row>
    <row r="18" spans="1:43" s="43" customFormat="1" ht="22.5" hidden="1" customHeight="1">
      <c r="M18" s="167"/>
      <c r="N18" s="167"/>
      <c r="O18" s="261" t="s">
        <v>420</v>
      </c>
      <c r="P18" s="167"/>
      <c r="Q18" s="452"/>
      <c r="R18" s="452"/>
      <c r="Y18" s="261"/>
      <c r="AA18" s="261"/>
      <c r="AF18" s="261"/>
      <c r="AH18" s="261"/>
      <c r="AL18" s="46"/>
      <c r="AM18" s="46"/>
      <c r="AN18" s="46"/>
      <c r="AO18" s="46"/>
      <c r="AP18" s="46"/>
      <c r="AQ18" s="43">
        <v>0</v>
      </c>
    </row>
    <row r="19" spans="1:43" s="43" customFormat="1" ht="14.25" hidden="1" customHeight="1">
      <c r="M19" s="167"/>
      <c r="N19" s="167"/>
      <c r="O19" s="167"/>
      <c r="P19" s="167"/>
      <c r="Q19" s="452"/>
      <c r="R19" s="452"/>
      <c r="AL19" s="46"/>
      <c r="AM19" s="46"/>
      <c r="AN19" s="46"/>
      <c r="AO19" s="46"/>
      <c r="AP19" s="46"/>
      <c r="AQ19" s="43">
        <v>0</v>
      </c>
    </row>
    <row r="20" spans="1:43" s="43" customFormat="1" ht="12" hidden="1" customHeight="1">
      <c r="M20" s="167"/>
      <c r="N20" s="167"/>
      <c r="O20" s="43" t="s">
        <v>421</v>
      </c>
      <c r="P20" s="167"/>
      <c r="Q20" s="476"/>
      <c r="R20" s="476"/>
      <c r="T20" s="43" t="s">
        <v>422</v>
      </c>
      <c r="Z20" s="43" t="s">
        <v>423</v>
      </c>
      <c r="AB20" s="43" t="s">
        <v>424</v>
      </c>
      <c r="AC20" s="43" t="s">
        <v>422</v>
      </c>
      <c r="AG20" s="43" t="s">
        <v>425</v>
      </c>
      <c r="AI20" s="43" t="s">
        <v>424</v>
      </c>
      <c r="AQ20" s="43">
        <v>0</v>
      </c>
    </row>
    <row r="21" spans="1:43" ht="14.25" hidden="1" customHeight="1">
      <c r="O21" s="43"/>
      <c r="AQ21" s="4">
        <v>0</v>
      </c>
    </row>
    <row r="22" spans="1:43" ht="14.25" hidden="1" customHeight="1">
      <c r="O22" s="43"/>
      <c r="AQ22" s="4">
        <v>0</v>
      </c>
    </row>
    <row r="23" spans="1:43" ht="14.65" customHeight="1">
      <c r="Q23" s="19"/>
      <c r="R23" s="19"/>
      <c r="S23" s="6"/>
      <c r="T23" s="6"/>
      <c r="U23" s="6"/>
      <c r="AQ23" s="4">
        <v>14</v>
      </c>
    </row>
    <row r="24" spans="1:43" ht="14.65" customHeight="1">
      <c r="Q24" s="19"/>
      <c r="R24" s="19"/>
      <c r="S24" s="697"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697"/>
      <c r="U24" s="697"/>
      <c r="V24" s="697"/>
      <c r="W24" s="697"/>
      <c r="X24" s="697"/>
      <c r="Y24" s="697"/>
      <c r="Z24" s="697"/>
      <c r="AA24" s="697"/>
      <c r="AB24" s="697"/>
      <c r="AC24" s="697"/>
      <c r="AD24" s="697"/>
      <c r="AE24" s="697"/>
      <c r="AF24" s="697"/>
      <c r="AG24" s="697"/>
      <c r="AH24" s="697"/>
      <c r="AI24" s="40"/>
      <c r="AQ24" s="4">
        <v>14</v>
      </c>
    </row>
    <row r="25" spans="1:43" ht="14.65" customHeight="1">
      <c r="Q25" s="19"/>
      <c r="R25" s="19"/>
      <c r="S25" s="712" t="str">
        <f>IF(org=0,"Не определено",org)</f>
        <v>ООО "Восточная Тепловая компания"</v>
      </c>
      <c r="T25" s="712"/>
      <c r="U25" s="712"/>
      <c r="V25" s="712"/>
      <c r="W25" s="712"/>
      <c r="X25" s="712"/>
      <c r="Y25" s="712"/>
      <c r="Z25" s="712"/>
      <c r="AA25" s="712"/>
      <c r="AB25" s="712"/>
      <c r="AC25" s="712"/>
      <c r="AD25" s="712"/>
      <c r="AE25" s="712"/>
      <c r="AF25" s="712"/>
      <c r="AG25" s="712"/>
      <c r="AH25" s="712"/>
      <c r="AI25" s="40"/>
      <c r="AQ25" s="4">
        <v>14</v>
      </c>
    </row>
    <row r="26" spans="1:43" ht="14.25" hidden="1" customHeight="1">
      <c r="Q26" s="19"/>
      <c r="R26" s="19"/>
      <c r="S26" s="6"/>
      <c r="T26" s="6"/>
      <c r="U26" s="6"/>
      <c r="V26" s="109"/>
      <c r="W26" s="109"/>
      <c r="X26" s="109"/>
      <c r="Y26" s="109"/>
      <c r="Z26" s="109"/>
      <c r="AA26" s="109"/>
      <c r="AB26" s="109"/>
      <c r="AC26" s="109"/>
      <c r="AD26" s="109"/>
      <c r="AE26" s="109"/>
      <c r="AF26" s="109"/>
      <c r="AG26" s="109"/>
      <c r="AH26" s="109"/>
      <c r="AI26" s="109"/>
      <c r="AQ26" s="4">
        <v>0</v>
      </c>
    </row>
    <row r="27" spans="1:43" s="22" customFormat="1" ht="25.5" hidden="1" customHeight="1">
      <c r="A27" s="43"/>
      <c r="B27" s="43"/>
      <c r="C27" s="43"/>
      <c r="D27" s="43"/>
      <c r="E27" s="43"/>
      <c r="F27" s="43"/>
      <c r="G27" s="43"/>
      <c r="H27" s="43"/>
      <c r="I27" s="43"/>
      <c r="J27" s="43"/>
      <c r="K27" s="43"/>
      <c r="L27" s="43"/>
      <c r="M27" s="43"/>
      <c r="N27" s="43"/>
      <c r="O27" s="43"/>
      <c r="S27" s="721" t="s">
        <v>42</v>
      </c>
      <c r="T27" s="721"/>
      <c r="U27" s="453"/>
      <c r="V27" s="741" t="str">
        <f>IF(TITLE_NAME_OR_PR_CHANGE="",IF(TITLE_NAME_OR_PR="","",TITLE_NAME_OR_PR),TITLE_NAME_OR_PR_CHANGE)</f>
        <v/>
      </c>
      <c r="W27" s="741"/>
      <c r="X27" s="741"/>
      <c r="Y27" s="741"/>
      <c r="Z27" s="741"/>
      <c r="AA27" s="741"/>
      <c r="AB27" s="4"/>
      <c r="AC27" s="741" t="str">
        <f>IF(TITLE_NAME_OR_PR_CHANGE="",IF(TITLE_NAME_OR_PR="","",TITLE_NAME_OR_PR),TITLE_NAME_OR_PR_CHANGE)</f>
        <v/>
      </c>
      <c r="AD27" s="741"/>
      <c r="AE27" s="741"/>
      <c r="AF27" s="741"/>
      <c r="AG27" s="741"/>
      <c r="AH27" s="741"/>
      <c r="AI27" s="4"/>
      <c r="AJ27" s="4"/>
      <c r="AK27" s="96"/>
      <c r="AL27" s="46"/>
      <c r="AM27" s="46"/>
      <c r="AN27" s="46"/>
      <c r="AO27" s="46"/>
      <c r="AP27" s="46"/>
      <c r="AQ27" s="22">
        <v>0</v>
      </c>
    </row>
    <row r="28" spans="1:43" s="22" customFormat="1" ht="18.75" hidden="1" customHeight="1">
      <c r="A28" s="43"/>
      <c r="B28" s="43"/>
      <c r="C28" s="43"/>
      <c r="D28" s="43"/>
      <c r="E28" s="43"/>
      <c r="F28" s="43"/>
      <c r="G28" s="43"/>
      <c r="H28" s="43"/>
      <c r="I28" s="43"/>
      <c r="J28" s="43"/>
      <c r="K28" s="43"/>
      <c r="L28" s="43"/>
      <c r="M28" s="43"/>
      <c r="N28" s="43"/>
      <c r="O28" s="43"/>
      <c r="S28" s="721" t="s">
        <v>426</v>
      </c>
      <c r="T28" s="721"/>
      <c r="U28" s="453"/>
      <c r="V28" s="740" t="str">
        <f>IF(TITLE_DATE_PR_CHANGE="",IF(TITLE_DATE_PR="","",TITLE_DATE_PR),TITLE_DATE_PR_CHANGE)</f>
        <v/>
      </c>
      <c r="W28" s="740"/>
      <c r="X28" s="740"/>
      <c r="Y28" s="740"/>
      <c r="Z28" s="740"/>
      <c r="AA28" s="740"/>
      <c r="AB28" s="4"/>
      <c r="AC28" s="740" t="str">
        <f>IF(TITLE_DATE_PR_CHANGE="",IF(TITLE_DATE_PR="","",TITLE_DATE_PR),TITLE_DATE_PR_CHANGE)</f>
        <v/>
      </c>
      <c r="AD28" s="740"/>
      <c r="AE28" s="740"/>
      <c r="AF28" s="740"/>
      <c r="AG28" s="740"/>
      <c r="AH28" s="740"/>
      <c r="AI28" s="4"/>
      <c r="AJ28" s="4"/>
      <c r="AK28" s="96"/>
      <c r="AL28" s="46"/>
      <c r="AM28" s="46"/>
      <c r="AN28" s="46"/>
      <c r="AO28" s="46"/>
      <c r="AP28" s="46"/>
      <c r="AQ28" s="22">
        <v>0</v>
      </c>
    </row>
    <row r="29" spans="1:43" s="22" customFormat="1" ht="18.75" hidden="1" customHeight="1">
      <c r="A29" s="43"/>
      <c r="B29" s="43"/>
      <c r="C29" s="43"/>
      <c r="D29" s="43"/>
      <c r="E29" s="43"/>
      <c r="F29" s="43"/>
      <c r="G29" s="43"/>
      <c r="H29" s="43"/>
      <c r="I29" s="43"/>
      <c r="J29" s="43"/>
      <c r="K29" s="43"/>
      <c r="L29" s="43"/>
      <c r="M29" s="43"/>
      <c r="N29" s="43"/>
      <c r="O29" s="43"/>
      <c r="S29" s="721" t="s">
        <v>427</v>
      </c>
      <c r="T29" s="721"/>
      <c r="U29" s="453"/>
      <c r="V29" s="741" t="str">
        <f>IF(TITLE_NUMBER_PR_CHANGE="",IF(TITLE_NUMBER_PR="","",TITLE_NUMBER_PR),TITLE_NUMBER_PR_CHANGE)</f>
        <v/>
      </c>
      <c r="W29" s="741"/>
      <c r="X29" s="741"/>
      <c r="Y29" s="741"/>
      <c r="Z29" s="741"/>
      <c r="AA29" s="741"/>
      <c r="AB29" s="4"/>
      <c r="AC29" s="741" t="str">
        <f>IF(TITLE_NUMBER_PR_CHANGE="",IF(TITLE_NUMBER_PR="","",TITLE_NUMBER_PR),TITLE_NUMBER_PR_CHANGE)</f>
        <v/>
      </c>
      <c r="AD29" s="741"/>
      <c r="AE29" s="741"/>
      <c r="AF29" s="741"/>
      <c r="AG29" s="741"/>
      <c r="AH29" s="741"/>
      <c r="AI29" s="4"/>
      <c r="AJ29" s="4"/>
      <c r="AK29" s="96"/>
      <c r="AL29" s="46"/>
      <c r="AM29" s="46"/>
      <c r="AN29" s="46"/>
      <c r="AO29" s="46"/>
      <c r="AP29" s="46"/>
      <c r="AQ29" s="22">
        <v>0</v>
      </c>
    </row>
    <row r="30" spans="1:43" s="22" customFormat="1" ht="18.75" hidden="1" customHeight="1">
      <c r="A30" s="43"/>
      <c r="B30" s="43"/>
      <c r="C30" s="43"/>
      <c r="D30" s="43"/>
      <c r="E30" s="43"/>
      <c r="F30" s="43"/>
      <c r="G30" s="43"/>
      <c r="H30" s="43"/>
      <c r="I30" s="43"/>
      <c r="J30" s="43"/>
      <c r="K30" s="43"/>
      <c r="L30" s="43"/>
      <c r="M30" s="43"/>
      <c r="N30" s="43"/>
      <c r="O30" s="43"/>
      <c r="S30" s="721" t="s">
        <v>43</v>
      </c>
      <c r="T30" s="721"/>
      <c r="U30" s="453"/>
      <c r="V30" s="741" t="str">
        <f>IF(TITLE_IST_PUB_CHANGE="",IF(TITLE_IST_PUB="","",TITLE_IST_PUB),TITLE_IST_PUB_CHANGE)</f>
        <v/>
      </c>
      <c r="W30" s="741"/>
      <c r="X30" s="741"/>
      <c r="Y30" s="741"/>
      <c r="Z30" s="741"/>
      <c r="AA30" s="741"/>
      <c r="AB30" s="4"/>
      <c r="AC30" s="741" t="str">
        <f>IF(TITLE_IST_PUB_CHANGE="",IF(TITLE_IST_PUB="","",TITLE_IST_PUB),TITLE_IST_PUB_CHANGE)</f>
        <v/>
      </c>
      <c r="AD30" s="741"/>
      <c r="AE30" s="741"/>
      <c r="AF30" s="741"/>
      <c r="AG30" s="741"/>
      <c r="AH30" s="741"/>
      <c r="AI30" s="4"/>
      <c r="AJ30" s="4"/>
      <c r="AK30" s="96"/>
      <c r="AL30" s="46"/>
      <c r="AM30" s="46"/>
      <c r="AN30" s="46"/>
      <c r="AO30" s="46"/>
      <c r="AP30" s="46"/>
      <c r="AQ30" s="22">
        <v>0</v>
      </c>
    </row>
    <row r="31" spans="1:43" ht="14.25" hidden="1" customHeight="1">
      <c r="Q31" s="19"/>
      <c r="R31" s="19"/>
      <c r="S31" s="6"/>
      <c r="T31" s="6"/>
      <c r="U31" s="6"/>
      <c r="V31" s="109"/>
      <c r="W31" s="109"/>
      <c r="X31" s="109"/>
      <c r="Y31" s="109"/>
      <c r="Z31" s="109"/>
      <c r="AA31" s="109"/>
      <c r="AB31" s="109"/>
      <c r="AC31" s="109"/>
      <c r="AD31" s="109"/>
      <c r="AE31" s="109"/>
      <c r="AF31" s="109"/>
      <c r="AG31" s="109"/>
      <c r="AH31" s="109"/>
      <c r="AI31" s="109"/>
      <c r="AQ31" s="4">
        <v>0</v>
      </c>
    </row>
    <row r="32" spans="1:43" s="22" customFormat="1" ht="18.75" hidden="1" customHeight="1">
      <c r="A32" s="43"/>
      <c r="B32" s="43"/>
      <c r="C32" s="43"/>
      <c r="D32" s="43"/>
      <c r="E32" s="43"/>
      <c r="F32" s="43"/>
      <c r="G32" s="43"/>
      <c r="H32" s="43"/>
      <c r="I32" s="43"/>
      <c r="J32" s="43"/>
      <c r="K32" s="43"/>
      <c r="L32" s="43"/>
      <c r="M32" s="43"/>
      <c r="N32" s="43"/>
      <c r="O32" s="43"/>
      <c r="S32" s="721" t="s">
        <v>428</v>
      </c>
      <c r="T32" s="721"/>
      <c r="U32" s="453"/>
      <c r="V32" s="740" t="str">
        <f>IF(TITLE_DATE_PR_CHANGE="",IF(TITLE_DATE_PR="","",TITLE_DATE_PR),TITLE_DATE_PR_CHANGE)</f>
        <v/>
      </c>
      <c r="W32" s="740"/>
      <c r="X32" s="740"/>
      <c r="Y32" s="740"/>
      <c r="Z32" s="740"/>
      <c r="AA32" s="740"/>
      <c r="AB32" s="4"/>
      <c r="AC32" s="740" t="str">
        <f>IF(TITLE_DATE_PR_CHANGE="",IF(TITLE_DATE_PR="","",TITLE_DATE_PR),TITLE_DATE_PR_CHANGE)</f>
        <v/>
      </c>
      <c r="AD32" s="740"/>
      <c r="AE32" s="740"/>
      <c r="AF32" s="740"/>
      <c r="AG32" s="740"/>
      <c r="AH32" s="740"/>
      <c r="AI32" s="4"/>
      <c r="AJ32" s="4"/>
      <c r="AK32" s="96"/>
      <c r="AL32" s="46"/>
      <c r="AM32" s="46"/>
      <c r="AN32" s="46"/>
      <c r="AO32" s="46"/>
      <c r="AP32" s="46"/>
      <c r="AQ32" s="22">
        <v>0</v>
      </c>
    </row>
    <row r="33" spans="1:43" s="22" customFormat="1" ht="18.75" hidden="1" customHeight="1">
      <c r="A33" s="43"/>
      <c r="B33" s="43"/>
      <c r="C33" s="43"/>
      <c r="D33" s="43"/>
      <c r="E33" s="43"/>
      <c r="F33" s="43"/>
      <c r="G33" s="43"/>
      <c r="H33" s="43"/>
      <c r="I33" s="43"/>
      <c r="J33" s="43"/>
      <c r="K33" s="43"/>
      <c r="L33" s="43"/>
      <c r="M33" s="43"/>
      <c r="N33" s="43"/>
      <c r="O33" s="43"/>
      <c r="S33" s="721" t="s">
        <v>429</v>
      </c>
      <c r="T33" s="721"/>
      <c r="U33" s="453"/>
      <c r="V33" s="741" t="str">
        <f>IF(TITLE_NUMBER_PR_CHANGE="",IF(TITLE_NUMBER_PR="","",TITLE_NUMBER_PR),TITLE_NUMBER_PR_CHANGE)</f>
        <v/>
      </c>
      <c r="W33" s="741"/>
      <c r="X33" s="741"/>
      <c r="Y33" s="741"/>
      <c r="Z33" s="741"/>
      <c r="AA33" s="741"/>
      <c r="AB33" s="4"/>
      <c r="AC33" s="741" t="str">
        <f>IF(TITLE_NUMBER_PR_CHANGE="",IF(TITLE_NUMBER_PR="","",TITLE_NUMBER_PR),TITLE_NUMBER_PR_CHANGE)</f>
        <v/>
      </c>
      <c r="AD33" s="741"/>
      <c r="AE33" s="741"/>
      <c r="AF33" s="741"/>
      <c r="AG33" s="741"/>
      <c r="AH33" s="741"/>
      <c r="AI33" s="4"/>
      <c r="AJ33" s="4"/>
      <c r="AK33" s="96"/>
      <c r="AL33" s="46"/>
      <c r="AM33" s="46"/>
      <c r="AN33" s="46"/>
      <c r="AO33" s="46"/>
      <c r="AP33" s="46"/>
      <c r="AQ33" s="22">
        <v>0</v>
      </c>
    </row>
    <row r="34" spans="1:43" s="22" customFormat="1" ht="1.1499999999999999" customHeight="1">
      <c r="A34" s="43"/>
      <c r="B34" s="43"/>
      <c r="C34" s="43"/>
      <c r="D34" s="43"/>
      <c r="E34" s="43"/>
      <c r="F34" s="43"/>
      <c r="G34" s="43"/>
      <c r="H34" s="43"/>
      <c r="I34" s="43"/>
      <c r="J34" s="43"/>
      <c r="K34" s="43"/>
      <c r="L34" s="43"/>
      <c r="M34" s="43"/>
      <c r="N34" s="43"/>
      <c r="O34" s="43"/>
      <c r="S34" s="4"/>
      <c r="T34" s="4"/>
      <c r="U34" s="4"/>
      <c r="V34" s="4"/>
      <c r="W34" s="4"/>
      <c r="X34" s="4"/>
      <c r="Y34" s="4"/>
      <c r="Z34" s="4"/>
      <c r="AA34" s="4"/>
      <c r="AB34" s="46" t="s">
        <v>430</v>
      </c>
      <c r="AC34" s="4"/>
      <c r="AD34" s="4"/>
      <c r="AE34" s="4"/>
      <c r="AF34" s="4"/>
      <c r="AG34" s="4"/>
      <c r="AH34" s="4"/>
      <c r="AI34" s="46" t="s">
        <v>430</v>
      </c>
      <c r="AL34" s="46"/>
      <c r="AM34" s="46"/>
      <c r="AN34" s="46"/>
      <c r="AO34" s="46"/>
      <c r="AP34" s="46"/>
      <c r="AQ34" s="22">
        <v>1</v>
      </c>
    </row>
    <row r="35" spans="1:43" ht="14.65" customHeight="1">
      <c r="Q35" s="19"/>
      <c r="R35" s="19"/>
      <c r="S35" s="6"/>
      <c r="T35" s="6"/>
      <c r="U35" s="420"/>
      <c r="V35" s="755"/>
      <c r="W35" s="755"/>
      <c r="X35" s="755"/>
      <c r="Y35" s="755"/>
      <c r="Z35" s="755"/>
      <c r="AA35" s="755"/>
      <c r="AB35" s="755"/>
      <c r="AC35" s="755"/>
      <c r="AD35" s="755"/>
      <c r="AE35" s="755"/>
      <c r="AF35" s="755"/>
      <c r="AG35" s="755"/>
      <c r="AH35" s="755"/>
      <c r="AI35" s="755"/>
      <c r="AQ35" s="4">
        <v>14</v>
      </c>
    </row>
    <row r="36" spans="1:43" ht="14.65" customHeight="1">
      <c r="Q36" s="19"/>
      <c r="R36" s="19"/>
      <c r="S36" s="679" t="s">
        <v>303</v>
      </c>
      <c r="T36" s="679"/>
      <c r="U36" s="679"/>
      <c r="V36" s="679"/>
      <c r="W36" s="679"/>
      <c r="X36" s="679"/>
      <c r="Y36" s="679"/>
      <c r="Z36" s="679"/>
      <c r="AA36" s="679"/>
      <c r="AB36" s="679"/>
      <c r="AC36" s="679"/>
      <c r="AD36" s="679"/>
      <c r="AE36" s="679"/>
      <c r="AF36" s="679"/>
      <c r="AG36" s="679"/>
      <c r="AH36" s="679"/>
      <c r="AI36" s="679"/>
      <c r="AJ36" s="679"/>
      <c r="AK36" s="679" t="s">
        <v>304</v>
      </c>
      <c r="AQ36" s="4">
        <v>14</v>
      </c>
    </row>
    <row r="37" spans="1:43" ht="14.65" customHeight="1">
      <c r="Q37" s="19"/>
      <c r="R37" s="19"/>
      <c r="S37" s="722" t="s">
        <v>88</v>
      </c>
      <c r="T37" s="722" t="s">
        <v>431</v>
      </c>
      <c r="U37" s="100"/>
      <c r="V37" s="756" t="s">
        <v>432</v>
      </c>
      <c r="W37" s="757"/>
      <c r="X37" s="757"/>
      <c r="Y37" s="757"/>
      <c r="Z37" s="757"/>
      <c r="AA37" s="758"/>
      <c r="AB37" s="724" t="s">
        <v>433</v>
      </c>
      <c r="AC37" s="756" t="s">
        <v>432</v>
      </c>
      <c r="AD37" s="757"/>
      <c r="AE37" s="757"/>
      <c r="AF37" s="757"/>
      <c r="AG37" s="757"/>
      <c r="AH37" s="758"/>
      <c r="AI37" s="724" t="s">
        <v>434</v>
      </c>
      <c r="AJ37" s="759" t="s">
        <v>435</v>
      </c>
      <c r="AK37" s="679"/>
      <c r="AQ37" s="4">
        <v>14</v>
      </c>
    </row>
    <row r="38" spans="1:43" ht="35.65" customHeight="1">
      <c r="Q38" s="19"/>
      <c r="R38" s="19"/>
      <c r="S38" s="722"/>
      <c r="T38" s="722"/>
      <c r="U38" s="349"/>
      <c r="V38" s="100" t="s">
        <v>492</v>
      </c>
      <c r="W38" s="662" t="s">
        <v>438</v>
      </c>
      <c r="X38" s="661"/>
      <c r="Y38" s="662" t="s">
        <v>439</v>
      </c>
      <c r="Z38" s="666"/>
      <c r="AA38" s="661"/>
      <c r="AB38" s="725"/>
      <c r="AC38" s="100" t="s">
        <v>492</v>
      </c>
      <c r="AD38" s="662" t="s">
        <v>438</v>
      </c>
      <c r="AE38" s="661"/>
      <c r="AF38" s="662" t="s">
        <v>439</v>
      </c>
      <c r="AG38" s="666"/>
      <c r="AH38" s="661"/>
      <c r="AI38" s="725"/>
      <c r="AJ38" s="760"/>
      <c r="AK38" s="679"/>
      <c r="AQ38" s="4">
        <v>34</v>
      </c>
    </row>
    <row r="39" spans="1:43" ht="35.65" customHeight="1">
      <c r="B39" s="43" t="s">
        <v>140</v>
      </c>
      <c r="C39" s="43" t="s">
        <v>141</v>
      </c>
      <c r="D39" s="43" t="s">
        <v>142</v>
      </c>
      <c r="E39" s="43" t="s">
        <v>440</v>
      </c>
      <c r="F39" s="43" t="s">
        <v>441</v>
      </c>
      <c r="G39" s="43" t="s">
        <v>442</v>
      </c>
      <c r="I39" s="43" t="s">
        <v>493</v>
      </c>
      <c r="J39" s="43" t="s">
        <v>445</v>
      </c>
      <c r="K39" s="43" t="s">
        <v>494</v>
      </c>
      <c r="L39" s="43" t="s">
        <v>421</v>
      </c>
      <c r="Q39" s="19"/>
      <c r="R39" s="19"/>
      <c r="S39" s="722"/>
      <c r="T39" s="722"/>
      <c r="U39" s="101"/>
      <c r="V39" s="100" t="s">
        <v>495</v>
      </c>
      <c r="W39" s="27" t="s">
        <v>496</v>
      </c>
      <c r="X39" s="27" t="s">
        <v>497</v>
      </c>
      <c r="Y39" s="27" t="s">
        <v>449</v>
      </c>
      <c r="Z39" s="728" t="s">
        <v>450</v>
      </c>
      <c r="AA39" s="734"/>
      <c r="AB39" s="726"/>
      <c r="AC39" s="100" t="s">
        <v>495</v>
      </c>
      <c r="AD39" s="27" t="s">
        <v>496</v>
      </c>
      <c r="AE39" s="27" t="s">
        <v>497</v>
      </c>
      <c r="AF39" s="27" t="s">
        <v>449</v>
      </c>
      <c r="AG39" s="728" t="s">
        <v>450</v>
      </c>
      <c r="AH39" s="734"/>
      <c r="AI39" s="726"/>
      <c r="AJ39" s="761"/>
      <c r="AK39" s="679"/>
      <c r="AQ39" s="4">
        <v>34</v>
      </c>
    </row>
    <row r="40" spans="1:43" s="117" customFormat="1" ht="0" hidden="1" customHeight="1">
      <c r="A40" s="43"/>
      <c r="B40" s="43"/>
      <c r="C40" s="43"/>
      <c r="D40" s="43"/>
      <c r="E40" s="43"/>
      <c r="F40" s="43"/>
      <c r="G40" s="43"/>
      <c r="H40" s="43"/>
      <c r="I40" s="43"/>
      <c r="J40" s="43"/>
      <c r="K40" s="43"/>
      <c r="L40" s="43"/>
      <c r="M40" s="167"/>
      <c r="N40" s="167"/>
      <c r="O40" s="167"/>
      <c r="P40" s="178"/>
      <c r="Q40" s="422"/>
      <c r="R40" s="424">
        <v>1</v>
      </c>
      <c r="S40" s="425" t="s">
        <v>110</v>
      </c>
      <c r="T40" s="425" t="s">
        <v>111</v>
      </c>
      <c r="U40" s="421" t="str">
        <f ca="1">OFFSET(U40,0,-1)</f>
        <v>2</v>
      </c>
      <c r="V40" s="426">
        <f ca="1">OFFSET(V40,0,-1)+1</f>
        <v>3</v>
      </c>
      <c r="W40" s="426">
        <f ca="1">OFFSET(W40,0,-1)+1</f>
        <v>4</v>
      </c>
      <c r="X40" s="426">
        <f ca="1">OFFSET(X40,0,-1)+1</f>
        <v>5</v>
      </c>
      <c r="Y40" s="426">
        <f ca="1">OFFSET(Y40,0,-1)+1</f>
        <v>6</v>
      </c>
      <c r="Z40" s="754">
        <f ca="1">OFFSET(Z40,0,-1)+1</f>
        <v>7</v>
      </c>
      <c r="AA40" s="754"/>
      <c r="AB40" s="426">
        <f ca="1">OFFSET(AB40,0,-2)+1</f>
        <v>8</v>
      </c>
      <c r="AC40" s="426">
        <f ca="1">OFFSET(AC40,0,-1)+1</f>
        <v>9</v>
      </c>
      <c r="AD40" s="426">
        <f ca="1">OFFSET(AD40,0,-1)+1</f>
        <v>10</v>
      </c>
      <c r="AE40" s="426">
        <f ca="1">OFFSET(AE40,0,-1)+1</f>
        <v>11</v>
      </c>
      <c r="AF40" s="426">
        <f ca="1">OFFSET(AF40,0,-1)+1</f>
        <v>12</v>
      </c>
      <c r="AG40" s="754">
        <f ca="1">OFFSET(AG40,0,-1)+1</f>
        <v>13</v>
      </c>
      <c r="AH40" s="754"/>
      <c r="AI40" s="426">
        <f ca="1">OFFSET(AI40,0,-2)+1</f>
        <v>14</v>
      </c>
      <c r="AJ40" s="421">
        <f ca="1">OFFSET(AJ40,0,-1)</f>
        <v>14</v>
      </c>
      <c r="AK40" s="426">
        <f ca="1">OFFSET(AK40,0,-1)+1</f>
        <v>15</v>
      </c>
      <c r="AL40" s="46"/>
      <c r="AM40" s="46"/>
      <c r="AN40" s="46"/>
      <c r="AO40" s="46"/>
      <c r="AP40" s="46"/>
      <c r="AQ40" s="117">
        <v>0</v>
      </c>
    </row>
    <row r="41" spans="1:43" ht="24" customHeight="1">
      <c r="A41" s="43" t="s">
        <v>244</v>
      </c>
      <c r="E41" s="745">
        <v>1</v>
      </c>
      <c r="M41" s="43"/>
      <c r="N41" s="43"/>
      <c r="O41" s="43"/>
      <c r="Q41" s="4"/>
      <c r="R41" s="119"/>
      <c r="S41" s="24">
        <f>INDEX(PT_DIFFERENTIATION_NUM_NTAR,MATCH(A41,PT_DIFFERENTIATION_NTAR_ID,0))</f>
        <v>0</v>
      </c>
      <c r="T41" s="29" t="s">
        <v>128</v>
      </c>
      <c r="U41" s="29"/>
      <c r="V41" s="742"/>
      <c r="W41" s="743"/>
      <c r="X41" s="743"/>
      <c r="Y41" s="743"/>
      <c r="Z41" s="743"/>
      <c r="AA41" s="743"/>
      <c r="AB41" s="744"/>
      <c r="AC41" s="742" t="str">
        <f>INDEX(PT_DIFFERENTIATION_NTAR,MATCH(A41,PT_DIFFERENTIATION_NTAR_ID,0))</f>
        <v/>
      </c>
      <c r="AD41" s="743"/>
      <c r="AE41" s="743"/>
      <c r="AF41" s="743"/>
      <c r="AG41" s="743"/>
      <c r="AH41" s="743"/>
      <c r="AI41" s="743"/>
      <c r="AJ41" s="744"/>
      <c r="AK41" s="4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N41" s="46" t="str">
        <f t="shared" ref="AN41:AN53" si="1">IF(T41="","",T41)</f>
        <v>Наименование тарифа</v>
      </c>
      <c r="AQ41" s="4">
        <v>23</v>
      </c>
    </row>
    <row r="42" spans="1:43" ht="24" customHeight="1">
      <c r="A42" s="43" t="s">
        <v>244</v>
      </c>
      <c r="B42" s="43" t="s">
        <v>245</v>
      </c>
      <c r="E42" s="747"/>
      <c r="F42" s="745">
        <v>1</v>
      </c>
      <c r="M42" s="43"/>
      <c r="N42" s="43"/>
      <c r="O42" s="43"/>
      <c r="P42" s="4"/>
      <c r="Q42" s="118"/>
      <c r="R42" s="119"/>
      <c r="S42" s="24" t="str">
        <f>INDEX(PT_DIFFERENTIATION_NUM_TER,MATCH(B42,PT_DIFFERENTIATION_TER_ID,0))</f>
        <v>.</v>
      </c>
      <c r="T42" s="24" t="s">
        <v>400</v>
      </c>
      <c r="U42" s="29"/>
      <c r="V42" s="742"/>
      <c r="W42" s="743"/>
      <c r="X42" s="743"/>
      <c r="Y42" s="743"/>
      <c r="Z42" s="743"/>
      <c r="AA42" s="743"/>
      <c r="AB42" s="744"/>
      <c r="AC42" s="742" t="str">
        <f>INDEX(PT_DIFFERENTIATION_TER,MATCH(B42,PT_DIFFERENTIATION_TER_ID,0))</f>
        <v/>
      </c>
      <c r="AD42" s="743"/>
      <c r="AE42" s="743"/>
      <c r="AF42" s="743"/>
      <c r="AG42" s="743"/>
      <c r="AH42" s="743"/>
      <c r="AI42" s="743"/>
      <c r="AJ42" s="744"/>
      <c r="AK42" s="428" t="s">
        <v>401</v>
      </c>
      <c r="AN42" s="46" t="str">
        <f t="shared" si="1"/>
        <v>Территория действия тарифа</v>
      </c>
      <c r="AQ42" s="4">
        <v>23</v>
      </c>
    </row>
    <row r="43" spans="1:43" ht="24" customHeight="1">
      <c r="A43" s="43" t="s">
        <v>244</v>
      </c>
      <c r="B43" s="43" t="s">
        <v>245</v>
      </c>
      <c r="C43" s="43" t="s">
        <v>246</v>
      </c>
      <c r="E43" s="747"/>
      <c r="F43" s="747"/>
      <c r="G43" s="745">
        <v>1</v>
      </c>
      <c r="M43" s="43"/>
      <c r="N43" s="43"/>
      <c r="O43" s="43"/>
      <c r="P43" s="16"/>
      <c r="Q43" s="118"/>
      <c r="R43" s="119"/>
      <c r="S43" s="24" t="str">
        <f>INDEX(PT_DIFFERENTIATION_NUM_CS,MATCH(C43,PT_DIFFERENTIATION_CS_ID,0))</f>
        <v>..</v>
      </c>
      <c r="T43" s="24" t="s">
        <v>484</v>
      </c>
      <c r="U43" s="29"/>
      <c r="V43" s="742"/>
      <c r="W43" s="743"/>
      <c r="X43" s="743"/>
      <c r="Y43" s="743"/>
      <c r="Z43" s="743"/>
      <c r="AA43" s="743"/>
      <c r="AB43" s="744"/>
      <c r="AC43" s="742" t="str">
        <f>INDEX(PT_DIFFERENTIATION_CS,MATCH(C43,PT_DIFFERENTIATION_CS_ID,0))</f>
        <v/>
      </c>
      <c r="AD43" s="743"/>
      <c r="AE43" s="743"/>
      <c r="AF43" s="743"/>
      <c r="AG43" s="743"/>
      <c r="AH43" s="743"/>
      <c r="AI43" s="743"/>
      <c r="AJ43" s="744"/>
      <c r="AK43" s="428" t="s">
        <v>485</v>
      </c>
      <c r="AN43" s="46" t="str">
        <f t="shared" si="1"/>
        <v>Наименование централизованной системы холодного водоснабжения</v>
      </c>
      <c r="AQ43" s="4">
        <v>23</v>
      </c>
    </row>
    <row r="44" spans="1:43" ht="24" customHeight="1">
      <c r="A44" s="43" t="s">
        <v>244</v>
      </c>
      <c r="B44" s="43" t="s">
        <v>245</v>
      </c>
      <c r="C44" s="43" t="s">
        <v>246</v>
      </c>
      <c r="D44" s="43" t="s">
        <v>501</v>
      </c>
      <c r="E44" s="747"/>
      <c r="F44" s="747"/>
      <c r="G44" s="747"/>
      <c r="H44" s="747"/>
      <c r="I44" s="745" t="str">
        <f>S43&amp;".1"</f>
        <v>...1</v>
      </c>
      <c r="P44" s="748">
        <v>1</v>
      </c>
      <c r="Q44" s="46"/>
      <c r="R44" s="120"/>
      <c r="S44" s="24" t="str">
        <f>$I44</f>
        <v>...1</v>
      </c>
      <c r="T44" s="24" t="s">
        <v>486</v>
      </c>
      <c r="U44" s="29"/>
      <c r="V44" s="793"/>
      <c r="W44" s="794"/>
      <c r="X44" s="794"/>
      <c r="Y44" s="794"/>
      <c r="Z44" s="794"/>
      <c r="AA44" s="794"/>
      <c r="AB44" s="795"/>
      <c r="AC44" s="793"/>
      <c r="AD44" s="794"/>
      <c r="AE44" s="794"/>
      <c r="AF44" s="794"/>
      <c r="AG44" s="794"/>
      <c r="AH44" s="794"/>
      <c r="AI44" s="794"/>
      <c r="AJ44" s="795"/>
      <c r="AK44" s="428" t="s">
        <v>487</v>
      </c>
      <c r="AN44" s="46" t="str">
        <f t="shared" si="1"/>
        <v>Наименование признака дифференциации</v>
      </c>
      <c r="AQ44" s="4">
        <v>23</v>
      </c>
    </row>
    <row r="45" spans="1:43" ht="24" customHeight="1">
      <c r="A45" s="43" t="s">
        <v>244</v>
      </c>
      <c r="B45" s="43" t="s">
        <v>245</v>
      </c>
      <c r="C45" s="43" t="s">
        <v>246</v>
      </c>
      <c r="D45" s="43" t="s">
        <v>501</v>
      </c>
      <c r="E45" s="747"/>
      <c r="F45" s="747"/>
      <c r="G45" s="747"/>
      <c r="H45" s="747"/>
      <c r="I45" s="747"/>
      <c r="J45" s="745" t="str">
        <f>I44&amp;".1"</f>
        <v>...1.1</v>
      </c>
      <c r="L45" s="43" t="s">
        <v>409</v>
      </c>
      <c r="P45" s="748"/>
      <c r="Q45" s="748">
        <v>1</v>
      </c>
      <c r="R45" s="120"/>
      <c r="S45" s="24" t="str">
        <f>$J45</f>
        <v>...1.1</v>
      </c>
      <c r="T45" s="24" t="s">
        <v>410</v>
      </c>
      <c r="U45" s="29"/>
      <c r="V45" s="737"/>
      <c r="W45" s="738"/>
      <c r="X45" s="738"/>
      <c r="Y45" s="738"/>
      <c r="Z45" s="738"/>
      <c r="AA45" s="738"/>
      <c r="AB45" s="739"/>
      <c r="AC45" s="737"/>
      <c r="AD45" s="738"/>
      <c r="AE45" s="738"/>
      <c r="AF45" s="738"/>
      <c r="AG45" s="738"/>
      <c r="AH45" s="738"/>
      <c r="AI45" s="738"/>
      <c r="AJ45" s="739"/>
      <c r="AK45" s="445" t="s">
        <v>488</v>
      </c>
      <c r="AN45" s="46" t="str">
        <f t="shared" si="1"/>
        <v>Группа потребителей</v>
      </c>
      <c r="AQ45" s="4">
        <v>23</v>
      </c>
    </row>
    <row r="46" spans="1:43" ht="24" customHeight="1">
      <c r="A46" s="43" t="s">
        <v>244</v>
      </c>
      <c r="B46" s="43" t="s">
        <v>245</v>
      </c>
      <c r="C46" s="43" t="s">
        <v>246</v>
      </c>
      <c r="D46" s="43" t="s">
        <v>501</v>
      </c>
      <c r="E46" s="747"/>
      <c r="F46" s="747"/>
      <c r="G46" s="747"/>
      <c r="H46" s="747"/>
      <c r="I46" s="747"/>
      <c r="J46" s="747"/>
      <c r="K46" s="745" t="str">
        <f>J45&amp;".1"</f>
        <v>...1.1.1</v>
      </c>
      <c r="P46" s="748"/>
      <c r="Q46" s="748"/>
      <c r="R46" s="120">
        <v>1</v>
      </c>
      <c r="S46" s="24" t="str">
        <f>$K46</f>
        <v>...1.1.1</v>
      </c>
      <c r="T46" s="25"/>
      <c r="U46" s="29"/>
      <c r="V46" s="168"/>
      <c r="W46" s="168"/>
      <c r="X46" s="427"/>
      <c r="Y46" s="749"/>
      <c r="Z46" s="688" t="s">
        <v>66</v>
      </c>
      <c r="AA46" s="749"/>
      <c r="AB46" s="688" t="s">
        <v>66</v>
      </c>
      <c r="AC46" s="168"/>
      <c r="AD46" s="168"/>
      <c r="AE46" s="427"/>
      <c r="AF46" s="749"/>
      <c r="AG46" s="688" t="s">
        <v>66</v>
      </c>
      <c r="AH46" s="750"/>
      <c r="AI46" s="688" t="s">
        <v>66</v>
      </c>
      <c r="AJ46" s="474"/>
      <c r="AK46" s="79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6" t="e">
        <f ca="1">STRCHECKDATE(V47:AJ47)</f>
        <v>#NAME?</v>
      </c>
      <c r="AN46" s="46" t="str">
        <f t="shared" si="1"/>
        <v/>
      </c>
      <c r="AQ46" s="4">
        <v>23</v>
      </c>
    </row>
    <row r="47" spans="1:43" ht="0" hidden="1" customHeight="1">
      <c r="A47" s="43" t="s">
        <v>244</v>
      </c>
      <c r="B47" s="43" t="s">
        <v>245</v>
      </c>
      <c r="C47" s="43" t="s">
        <v>246</v>
      </c>
      <c r="D47" s="43" t="s">
        <v>501</v>
      </c>
      <c r="E47" s="747"/>
      <c r="F47" s="747"/>
      <c r="G47" s="747"/>
      <c r="H47" s="747"/>
      <c r="I47" s="747"/>
      <c r="J47" s="747"/>
      <c r="K47" s="745"/>
      <c r="P47" s="748"/>
      <c r="Q47" s="748"/>
      <c r="R47" s="120"/>
      <c r="S47" s="31"/>
      <c r="T47" s="29"/>
      <c r="U47" s="29"/>
      <c r="V47" s="110"/>
      <c r="W47" s="110"/>
      <c r="X47" s="111" t="str">
        <f>Y46&amp;"-"&amp;AA46</f>
        <v>-</v>
      </c>
      <c r="Y47" s="707"/>
      <c r="Z47" s="688"/>
      <c r="AA47" s="707"/>
      <c r="AB47" s="688"/>
      <c r="AC47" s="110"/>
      <c r="AD47" s="110"/>
      <c r="AE47" s="111" t="str">
        <f>AF46&amp;"-"&amp;AH46</f>
        <v>-</v>
      </c>
      <c r="AF47" s="707"/>
      <c r="AG47" s="688"/>
      <c r="AH47" s="751"/>
      <c r="AI47" s="688"/>
      <c r="AJ47" s="216"/>
      <c r="AK47" s="796"/>
      <c r="AN47" s="46" t="str">
        <f t="shared" si="1"/>
        <v/>
      </c>
      <c r="AQ47" s="4">
        <v>0</v>
      </c>
    </row>
    <row r="48" spans="1:43" ht="21" customHeight="1">
      <c r="A48" s="43" t="s">
        <v>244</v>
      </c>
      <c r="B48" s="43" t="s">
        <v>245</v>
      </c>
      <c r="C48" s="43" t="s">
        <v>246</v>
      </c>
      <c r="D48" s="43" t="s">
        <v>501</v>
      </c>
      <c r="E48" s="747"/>
      <c r="F48" s="747"/>
      <c r="G48" s="747"/>
      <c r="H48" s="747"/>
      <c r="I48" s="747"/>
      <c r="J48" s="745"/>
      <c r="P48" s="748"/>
      <c r="Q48" s="748"/>
      <c r="R48" s="120"/>
      <c r="S48" s="434"/>
      <c r="T48" s="37" t="s">
        <v>489</v>
      </c>
      <c r="U48" s="58"/>
      <c r="V48" s="58"/>
      <c r="W48" s="58"/>
      <c r="X48" s="58"/>
      <c r="Y48" s="58"/>
      <c r="Z48" s="58"/>
      <c r="AA48" s="58"/>
      <c r="AB48" s="58"/>
      <c r="AC48" s="58"/>
      <c r="AD48" s="58"/>
      <c r="AE48" s="58"/>
      <c r="AF48" s="58"/>
      <c r="AG48" s="58"/>
      <c r="AH48" s="58"/>
      <c r="AI48" s="58"/>
      <c r="AJ48" s="58"/>
      <c r="AK48" s="428" t="s">
        <v>490</v>
      </c>
      <c r="AN48" s="46" t="str">
        <f t="shared" si="1"/>
        <v>Добавить значение признака дифференциации</v>
      </c>
      <c r="AQ48" s="4">
        <v>20</v>
      </c>
    </row>
    <row r="49" spans="1:43" ht="21.95" customHeight="1">
      <c r="A49" s="43" t="s">
        <v>244</v>
      </c>
      <c r="B49" s="43" t="s">
        <v>245</v>
      </c>
      <c r="C49" s="43" t="s">
        <v>246</v>
      </c>
      <c r="D49" s="43" t="s">
        <v>501</v>
      </c>
      <c r="E49" s="747"/>
      <c r="F49" s="747"/>
      <c r="G49" s="747"/>
      <c r="H49" s="747"/>
      <c r="I49" s="745"/>
      <c r="P49" s="748"/>
      <c r="Q49" s="46"/>
      <c r="R49" s="120"/>
      <c r="S49" s="434"/>
      <c r="T49" s="37" t="s">
        <v>415</v>
      </c>
      <c r="U49" s="58"/>
      <c r="V49" s="58"/>
      <c r="W49" s="58"/>
      <c r="X49" s="58"/>
      <c r="Y49" s="58"/>
      <c r="Z49" s="58"/>
      <c r="AA49" s="58"/>
      <c r="AB49" s="54"/>
      <c r="AC49" s="58"/>
      <c r="AD49" s="58"/>
      <c r="AE49" s="58"/>
      <c r="AF49" s="58"/>
      <c r="AG49" s="58"/>
      <c r="AH49" s="58"/>
      <c r="AI49" s="54"/>
      <c r="AJ49" s="58"/>
      <c r="AK49" s="475"/>
      <c r="AN49" s="46" t="str">
        <f t="shared" si="1"/>
        <v>Добавить группу потребителей</v>
      </c>
      <c r="AQ49" s="4">
        <v>21</v>
      </c>
    </row>
    <row r="50" spans="1:43" ht="21.95" customHeight="1">
      <c r="A50" s="43" t="s">
        <v>244</v>
      </c>
      <c r="B50" s="43" t="s">
        <v>245</v>
      </c>
      <c r="C50" s="43" t="s">
        <v>246</v>
      </c>
      <c r="D50" s="43" t="s">
        <v>501</v>
      </c>
      <c r="E50" s="747"/>
      <c r="F50" s="747"/>
      <c r="G50" s="747"/>
      <c r="H50" s="745"/>
      <c r="M50" s="43"/>
      <c r="N50" s="43"/>
      <c r="O50" s="43"/>
      <c r="P50" s="4"/>
      <c r="R50" s="119"/>
      <c r="S50" s="434"/>
      <c r="T50" s="37" t="s">
        <v>491</v>
      </c>
      <c r="U50" s="58"/>
      <c r="V50" s="58"/>
      <c r="W50" s="58"/>
      <c r="X50" s="58"/>
      <c r="Y50" s="58"/>
      <c r="Z50" s="58"/>
      <c r="AA50" s="58"/>
      <c r="AB50" s="54"/>
      <c r="AC50" s="58"/>
      <c r="AD50" s="58"/>
      <c r="AE50" s="58"/>
      <c r="AF50" s="58"/>
      <c r="AG50" s="58"/>
      <c r="AH50" s="58"/>
      <c r="AI50" s="54"/>
      <c r="AJ50" s="58"/>
      <c r="AK50" s="102"/>
      <c r="AN50" s="46" t="str">
        <f t="shared" si="1"/>
        <v>Добавить наименование признака дифференциации</v>
      </c>
      <c r="AQ50" s="4">
        <v>21</v>
      </c>
    </row>
    <row r="51" spans="1:43" s="46" customFormat="1" ht="0" hidden="1" customHeight="1">
      <c r="A51" s="46" t="s">
        <v>244</v>
      </c>
      <c r="B51" s="46" t="s">
        <v>245</v>
      </c>
      <c r="E51" s="747"/>
      <c r="F51" s="745"/>
      <c r="M51" s="160"/>
      <c r="N51" s="160"/>
      <c r="Q51" s="446"/>
      <c r="S51" s="449"/>
      <c r="T51" s="160" t="s">
        <v>418</v>
      </c>
      <c r="U51" s="160"/>
      <c r="V51" s="160"/>
      <c r="W51" s="160"/>
      <c r="X51" s="160"/>
      <c r="Y51" s="160"/>
      <c r="Z51" s="160"/>
      <c r="AA51" s="160"/>
      <c r="AB51" s="160"/>
      <c r="AC51" s="160"/>
      <c r="AD51" s="160"/>
      <c r="AE51" s="160"/>
      <c r="AF51" s="160"/>
      <c r="AG51" s="160"/>
      <c r="AH51" s="160"/>
      <c r="AI51" s="160"/>
      <c r="AJ51" s="160"/>
      <c r="AK51" s="160"/>
      <c r="AN51" s="46" t="str">
        <f t="shared" si="1"/>
        <v>Добавить централизованную систему для дифференциации</v>
      </c>
      <c r="AQ51" s="46">
        <v>0</v>
      </c>
    </row>
    <row r="52" spans="1:43" s="46" customFormat="1" ht="0" hidden="1" customHeight="1">
      <c r="A52" s="46" t="s">
        <v>244</v>
      </c>
      <c r="E52" s="745"/>
      <c r="M52" s="160"/>
      <c r="N52" s="160"/>
      <c r="Q52" s="446"/>
      <c r="S52" s="449"/>
      <c r="T52" s="160" t="s">
        <v>419</v>
      </c>
      <c r="U52" s="160"/>
      <c r="V52" s="160"/>
      <c r="W52" s="160"/>
      <c r="X52" s="160"/>
      <c r="Y52" s="160"/>
      <c r="Z52" s="160"/>
      <c r="AA52" s="160"/>
      <c r="AB52" s="160"/>
      <c r="AC52" s="160"/>
      <c r="AD52" s="160"/>
      <c r="AE52" s="160"/>
      <c r="AF52" s="160"/>
      <c r="AG52" s="160"/>
      <c r="AH52" s="160"/>
      <c r="AI52" s="160"/>
      <c r="AJ52" s="160"/>
      <c r="AK52" s="160"/>
      <c r="AN52" s="46" t="str">
        <f t="shared" si="1"/>
        <v>Добавить территорию для дифференциации</v>
      </c>
      <c r="AQ52" s="46">
        <v>0</v>
      </c>
    </row>
    <row r="53" spans="1:43" s="46" customFormat="1" ht="0" hidden="1" customHeight="1">
      <c r="M53" s="160"/>
      <c r="N53" s="160"/>
      <c r="Q53" s="446"/>
      <c r="S53" s="449"/>
      <c r="T53" s="160" t="s">
        <v>451</v>
      </c>
      <c r="U53" s="160"/>
      <c r="V53" s="160"/>
      <c r="W53" s="160"/>
      <c r="X53" s="160"/>
      <c r="Y53" s="160"/>
      <c r="Z53" s="160"/>
      <c r="AA53" s="160"/>
      <c r="AB53" s="160"/>
      <c r="AC53" s="160"/>
      <c r="AD53" s="160"/>
      <c r="AE53" s="160"/>
      <c r="AF53" s="160"/>
      <c r="AG53" s="160"/>
      <c r="AH53" s="160"/>
      <c r="AI53" s="160"/>
      <c r="AJ53" s="160"/>
      <c r="AK53" s="160"/>
      <c r="AN53" s="46" t="str">
        <f t="shared" si="1"/>
        <v>Добавить наименование тарифа</v>
      </c>
      <c r="AQ53" s="46">
        <v>0</v>
      </c>
    </row>
    <row r="54" spans="1:43" ht="11.45" customHeight="1">
      <c r="M54" s="43"/>
      <c r="N54" s="43"/>
      <c r="O54" s="43"/>
      <c r="P54" s="4"/>
      <c r="Q54" s="4"/>
      <c r="R54" s="4"/>
      <c r="AL54" s="4"/>
      <c r="AM54" s="4"/>
      <c r="AN54" s="4"/>
      <c r="AO54" s="4"/>
      <c r="AP54" s="4"/>
      <c r="AQ54" s="4">
        <v>11</v>
      </c>
    </row>
    <row r="55" spans="1:43" ht="14.65" customHeight="1">
      <c r="O55" s="43"/>
      <c r="T55" s="665"/>
      <c r="U55" s="665"/>
      <c r="V55" s="665"/>
      <c r="W55" s="665"/>
      <c r="X55" s="665"/>
      <c r="Y55" s="665"/>
      <c r="Z55" s="665"/>
      <c r="AA55" s="665"/>
      <c r="AB55" s="665"/>
      <c r="AC55" s="665"/>
      <c r="AD55" s="665"/>
      <c r="AE55" s="665"/>
      <c r="AF55" s="665"/>
      <c r="AG55" s="665"/>
      <c r="AH55" s="665"/>
      <c r="AI55" s="665"/>
      <c r="AJ55" s="665"/>
      <c r="AK55" s="665"/>
      <c r="AQ55" s="4">
        <v>14</v>
      </c>
    </row>
    <row r="56" spans="1:43" ht="14.65" customHeight="1">
      <c r="O56" s="43"/>
      <c r="AQ56" s="4">
        <v>14</v>
      </c>
    </row>
    <row r="57" spans="1:43" ht="14.65" customHeight="1">
      <c r="O57" s="43"/>
      <c r="T57" s="665"/>
      <c r="U57" s="665"/>
      <c r="V57" s="665"/>
      <c r="W57" s="665"/>
      <c r="X57" s="665"/>
      <c r="Y57" s="665"/>
      <c r="Z57" s="665"/>
      <c r="AA57" s="665"/>
      <c r="AB57" s="665"/>
      <c r="AC57" s="665"/>
      <c r="AD57" s="665"/>
      <c r="AE57" s="665"/>
      <c r="AF57" s="665"/>
      <c r="AG57" s="665"/>
      <c r="AH57" s="665"/>
      <c r="AI57" s="665"/>
      <c r="AJ57" s="665"/>
      <c r="AK57" s="665"/>
      <c r="AQ57" s="4">
        <v>14</v>
      </c>
    </row>
    <row r="58" spans="1:43" ht="22.5" hidden="1" customHeight="1">
      <c r="A58" s="43" t="s">
        <v>82</v>
      </c>
      <c r="B58" s="43">
        <v>0</v>
      </c>
      <c r="C58" s="43">
        <v>0</v>
      </c>
      <c r="D58" s="43">
        <v>0</v>
      </c>
      <c r="E58" s="43">
        <v>0</v>
      </c>
      <c r="F58" s="43">
        <v>0</v>
      </c>
      <c r="G58" s="43">
        <v>0</v>
      </c>
      <c r="H58" s="43">
        <v>0</v>
      </c>
      <c r="I58" s="43">
        <v>0</v>
      </c>
      <c r="J58" s="43">
        <v>0</v>
      </c>
      <c r="K58" s="43">
        <v>0</v>
      </c>
      <c r="L58" s="43">
        <v>0</v>
      </c>
      <c r="M58" s="167">
        <v>0</v>
      </c>
      <c r="N58" s="167">
        <v>0</v>
      </c>
      <c r="O58" s="167">
        <v>0</v>
      </c>
      <c r="P58" s="23">
        <v>3</v>
      </c>
      <c r="Q58" s="20">
        <v>3</v>
      </c>
      <c r="R58" s="20">
        <v>3</v>
      </c>
      <c r="S58" s="4">
        <v>12</v>
      </c>
      <c r="T58" s="4">
        <v>35</v>
      </c>
      <c r="U58" s="4">
        <v>0</v>
      </c>
      <c r="V58" s="4">
        <v>0</v>
      </c>
      <c r="W58" s="4">
        <v>0</v>
      </c>
      <c r="X58" s="4">
        <v>0</v>
      </c>
      <c r="Y58" s="4">
        <v>0</v>
      </c>
      <c r="Z58" s="4">
        <v>0</v>
      </c>
      <c r="AA58" s="4">
        <v>0</v>
      </c>
      <c r="AB58" s="4">
        <v>0</v>
      </c>
      <c r="AC58" s="4">
        <v>24</v>
      </c>
      <c r="AD58" s="4">
        <v>24</v>
      </c>
      <c r="AE58" s="4">
        <v>24</v>
      </c>
      <c r="AF58" s="4">
        <v>11</v>
      </c>
      <c r="AG58" s="4">
        <v>3</v>
      </c>
      <c r="AH58" s="4">
        <v>11</v>
      </c>
      <c r="AI58" s="4">
        <v>0</v>
      </c>
      <c r="AJ58" s="4">
        <v>4</v>
      </c>
      <c r="AK58" s="4">
        <v>115</v>
      </c>
      <c r="AL58" s="46">
        <v>10</v>
      </c>
      <c r="AM58" s="46">
        <v>10</v>
      </c>
      <c r="AN58" s="46">
        <v>10</v>
      </c>
      <c r="AO58" s="46">
        <v>10</v>
      </c>
      <c r="AP58" s="46">
        <v>10</v>
      </c>
      <c r="AQ58" s="4">
        <v>23</v>
      </c>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xr:uid="{00000000-0002-0000-1700-000000000000}">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xr:uid="{00000000-0002-0000-1700-000001000000}"/>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xr:uid="{00000000-0002-0000-1700-00000200000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xr:uid="{00000000-0002-0000-1700-000003000000}"/>
    <dataValidation type="list" allowBlank="1" showInputMessage="1" showErrorMessage="1" errorTitle="Ошибка" error="Выберите значение из списка" sqref="T65578 T131114 T196650 T262186 T327722 T393258 T458794 T524330 T589866 T655402 T720938 T786474 T852010 T917546 T983082" xr:uid="{00000000-0002-0000-1700-000004000000}">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xr:uid="{00000000-0002-0000-1700-000005000000}">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xr:uid="{00000000-0002-0000-1700-000006000000}">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xr:uid="{00000000-0002-0000-1700-00000700000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F74DA5-0594-E3F1-B958-FCF2E21ABE13}">
  <sheetPr>
    <tabColor theme="6" tint="0.39997558519241921"/>
  </sheetPr>
  <dimension ref="A1:AQ64"/>
  <sheetViews>
    <sheetView showGridLines="0" zoomScale="90" workbookViewId="0">
      <pane xSplit="27" ySplit="41" topLeftCell="AB42" activePane="bottomRight" state="frozen"/>
      <selection pane="topRight" activeCell="AB1" sqref="AB1"/>
      <selection pane="bottomLeft" activeCell="A42" sqref="A42"/>
      <selection pane="bottomRight"/>
    </sheetView>
  </sheetViews>
  <sheetFormatPr defaultColWidth="10.5703125" defaultRowHeight="14.25" customHeight="1"/>
  <cols>
    <col min="1" max="3" width="10.140625" style="4" hidden="1" customWidth="1"/>
    <col min="4" max="4" width="11.85546875" style="4" hidden="1" customWidth="1"/>
    <col min="5" max="12" width="10.140625" style="4" hidden="1" customWidth="1"/>
    <col min="13" max="15" width="10.140625" style="23" hidden="1" customWidth="1"/>
    <col min="16" max="16" width="3" style="167" customWidth="1"/>
    <col min="17" max="17" width="3" style="452" customWidth="1"/>
    <col min="18" max="18" width="3" style="20" customWidth="1"/>
    <col min="19" max="19" width="12" style="4" customWidth="1"/>
    <col min="20" max="20" width="31" style="4" customWidth="1"/>
    <col min="21" max="21" width="0.140625" style="4" customWidth="1"/>
    <col min="22" max="23" width="21.7109375" style="4" hidden="1" customWidth="1"/>
    <col min="24" max="24" width="11.7109375" style="4" hidden="1" customWidth="1"/>
    <col min="25" max="25" width="3.7109375" style="4" hidden="1" customWidth="1"/>
    <col min="26" max="26" width="11.7109375" style="4" hidden="1" customWidth="1"/>
    <col min="27" max="27" width="8.5703125" style="4" hidden="1" customWidth="1"/>
    <col min="28" max="28" width="27" style="4" customWidth="1"/>
    <col min="29" max="29" width="24.5703125" style="4" customWidth="1"/>
    <col min="30" max="31" width="21" style="4" customWidth="1"/>
    <col min="32" max="32" width="11" style="4" customWidth="1"/>
    <col min="33" max="33" width="3.7109375" style="4" customWidth="1"/>
    <col min="34" max="34" width="11" style="4" customWidth="1"/>
    <col min="35" max="35" width="8.5703125" style="4" hidden="1" customWidth="1"/>
    <col min="36" max="36" width="4" style="4" customWidth="1"/>
    <col min="37" max="37" width="115" style="4" customWidth="1"/>
    <col min="38" max="42" width="10" style="46" customWidth="1"/>
    <col min="43" max="43" width="10.5703125" style="4" hidden="1"/>
  </cols>
  <sheetData>
    <row r="1" spans="1:43" ht="0.75" hidden="1" customHeight="1">
      <c r="AQ1" s="4" t="s">
        <v>14</v>
      </c>
    </row>
    <row r="2" spans="1:43" ht="21" hidden="1" customHeight="1">
      <c r="E2" s="679">
        <v>1</v>
      </c>
      <c r="M2" s="4"/>
      <c r="N2" s="4"/>
      <c r="O2" s="4"/>
      <c r="Q2" s="43"/>
      <c r="R2" s="119"/>
      <c r="S2" s="24" t="e">
        <f>INDEX(PT_DIFFERENTIATION_NUM_NTAR,MATCH(A2,PT_DIFFERENTIATION_NTAR_ID,0))</f>
        <v>#N/A</v>
      </c>
      <c r="T2" s="29" t="s">
        <v>128</v>
      </c>
      <c r="U2" s="29"/>
      <c r="V2" s="743"/>
      <c r="W2" s="743"/>
      <c r="X2" s="743"/>
      <c r="Y2" s="743"/>
      <c r="Z2" s="743"/>
      <c r="AA2" s="744"/>
      <c r="AB2" s="608"/>
      <c r="AC2" s="743" t="e">
        <f>INDEX(PT_DIFFERENTIATION_NTAR,MATCH(A2,PT_DIFFERENTIATION_NTAR_ID,0))</f>
        <v>#N/A</v>
      </c>
      <c r="AD2" s="743"/>
      <c r="AE2" s="743"/>
      <c r="AF2" s="743"/>
      <c r="AG2" s="743"/>
      <c r="AH2" s="743"/>
      <c r="AI2" s="743"/>
      <c r="AJ2" s="744"/>
      <c r="AK2" s="428" t="s">
        <v>399</v>
      </c>
      <c r="AN2" s="46" t="str">
        <f t="shared" ref="AN2:AN14" si="0">IF(T2="","",T2)</f>
        <v>Наименование тарифа</v>
      </c>
      <c r="AQ2" s="4">
        <v>0</v>
      </c>
    </row>
    <row r="3" spans="1:43" ht="21" hidden="1" customHeight="1">
      <c r="E3" s="662"/>
      <c r="F3" s="679">
        <v>1</v>
      </c>
      <c r="M3" s="4"/>
      <c r="N3" s="4"/>
      <c r="O3" s="4"/>
      <c r="P3" s="43"/>
      <c r="Q3" s="468"/>
      <c r="R3" s="119"/>
      <c r="S3" s="24" t="e">
        <f>INDEX(PT_DIFFERENTIATION_NUM_TER,MATCH(B3,PT_DIFFERENTIATION_TER_ID,0))</f>
        <v>#N/A</v>
      </c>
      <c r="T3" s="24" t="s">
        <v>400</v>
      </c>
      <c r="U3" s="29"/>
      <c r="V3" s="743"/>
      <c r="W3" s="743"/>
      <c r="X3" s="743"/>
      <c r="Y3" s="743"/>
      <c r="Z3" s="743"/>
      <c r="AA3" s="744"/>
      <c r="AB3" s="608"/>
      <c r="AC3" s="743" t="e">
        <f>INDEX(PT_DIFFERENTIATION_TER,MATCH(B3,PT_DIFFERENTIATION_TER_ID,0))</f>
        <v>#N/A</v>
      </c>
      <c r="AD3" s="743"/>
      <c r="AE3" s="743"/>
      <c r="AF3" s="743"/>
      <c r="AG3" s="743"/>
      <c r="AH3" s="743"/>
      <c r="AI3" s="743"/>
      <c r="AJ3" s="744"/>
      <c r="AK3" s="428" t="s">
        <v>401</v>
      </c>
      <c r="AN3" s="46" t="str">
        <f t="shared" si="0"/>
        <v>Территория действия тарифа</v>
      </c>
      <c r="AQ3" s="4">
        <v>0</v>
      </c>
    </row>
    <row r="4" spans="1:43" ht="22.5" hidden="1" customHeight="1">
      <c r="E4" s="662"/>
      <c r="F4" s="662"/>
      <c r="G4" s="679">
        <v>1</v>
      </c>
      <c r="M4" s="4"/>
      <c r="N4" s="4"/>
      <c r="O4" s="4"/>
      <c r="P4" s="79"/>
      <c r="Q4" s="468"/>
      <c r="R4" s="119"/>
      <c r="S4" s="24" t="e">
        <f>INDEX(PT_DIFFERENTIATION_NUM_CS,MATCH(C4,PT_DIFFERENTIATION_CS_ID,0))</f>
        <v>#N/A</v>
      </c>
      <c r="T4" s="24" t="s">
        <v>402</v>
      </c>
      <c r="U4" s="29"/>
      <c r="V4" s="743"/>
      <c r="W4" s="743"/>
      <c r="X4" s="743"/>
      <c r="Y4" s="743"/>
      <c r="Z4" s="743"/>
      <c r="AA4" s="744"/>
      <c r="AB4" s="608"/>
      <c r="AC4" s="743" t="e">
        <f>INDEX(PT_DIFFERENTIATION_CS,MATCH(C4,PT_DIFFERENTIATION_CS_ID,0))</f>
        <v>#N/A</v>
      </c>
      <c r="AD4" s="743"/>
      <c r="AE4" s="743"/>
      <c r="AF4" s="743"/>
      <c r="AG4" s="743"/>
      <c r="AH4" s="743"/>
      <c r="AI4" s="743"/>
      <c r="AJ4" s="744"/>
      <c r="AK4" s="428" t="s">
        <v>403</v>
      </c>
      <c r="AN4" s="46" t="str">
        <f t="shared" si="0"/>
        <v xml:space="preserve">Наименование системы теплоснабжения </v>
      </c>
      <c r="AQ4" s="4">
        <v>0</v>
      </c>
    </row>
    <row r="5" spans="1:43" ht="21" hidden="1" customHeight="1">
      <c r="E5" s="662"/>
      <c r="F5" s="662"/>
      <c r="G5" s="662"/>
      <c r="H5" s="679">
        <v>1</v>
      </c>
      <c r="M5" s="4"/>
      <c r="N5" s="4"/>
      <c r="O5" s="4"/>
      <c r="P5" s="79"/>
      <c r="Q5" s="468"/>
      <c r="R5" s="119"/>
      <c r="S5" s="24" t="e">
        <f>INDEX(PT_DIFFERENTIATION_NUM_IST_TE,MATCH(D5,PT_DIFFERENTIATION_IST_TE_ID,0))</f>
        <v>#N/A</v>
      </c>
      <c r="T5" s="24" t="s">
        <v>404</v>
      </c>
      <c r="U5" s="29"/>
      <c r="V5" s="743"/>
      <c r="W5" s="743"/>
      <c r="X5" s="743"/>
      <c r="Y5" s="743"/>
      <c r="Z5" s="743"/>
      <c r="AA5" s="744"/>
      <c r="AB5" s="608"/>
      <c r="AC5" s="743" t="e">
        <f>INDEX(PT_DIFFERENTIATION_IST_TE,MATCH(D5,PT_DIFFERENTIATION_IST_TE_ID,0))</f>
        <v>#N/A</v>
      </c>
      <c r="AD5" s="743"/>
      <c r="AE5" s="743"/>
      <c r="AF5" s="743"/>
      <c r="AG5" s="743"/>
      <c r="AH5" s="743"/>
      <c r="AI5" s="743"/>
      <c r="AJ5" s="744"/>
      <c r="AK5" s="428" t="s">
        <v>405</v>
      </c>
      <c r="AN5" s="46" t="str">
        <f t="shared" si="0"/>
        <v xml:space="preserve">Источник тепловой энергии  </v>
      </c>
      <c r="AQ5" s="4">
        <v>0</v>
      </c>
    </row>
    <row r="6" spans="1:43" s="46" customFormat="1" ht="0.75" hidden="1" customHeight="1">
      <c r="A6" s="117"/>
      <c r="B6" s="117"/>
      <c r="C6" s="117"/>
      <c r="D6" s="117"/>
      <c r="E6" s="662"/>
      <c r="F6" s="662"/>
      <c r="G6" s="662"/>
      <c r="H6" s="662"/>
      <c r="I6" s="679" t="e">
        <f>S5&amp;".1"</f>
        <v>#N/A</v>
      </c>
      <c r="J6" s="117"/>
      <c r="K6" s="117"/>
      <c r="L6" s="117" t="s">
        <v>406</v>
      </c>
      <c r="M6" s="178"/>
      <c r="N6" s="178"/>
      <c r="O6" s="178"/>
      <c r="P6" s="748">
        <v>1</v>
      </c>
      <c r="R6" s="120"/>
      <c r="S6" s="174"/>
      <c r="T6" s="174"/>
      <c r="U6" s="174"/>
      <c r="V6" s="769"/>
      <c r="W6" s="769"/>
      <c r="X6" s="769"/>
      <c r="Y6" s="769"/>
      <c r="Z6" s="769"/>
      <c r="AA6" s="770"/>
      <c r="AB6" s="473"/>
      <c r="AC6" s="769"/>
      <c r="AD6" s="769"/>
      <c r="AE6" s="769"/>
      <c r="AF6" s="769"/>
      <c r="AG6" s="769"/>
      <c r="AH6" s="769"/>
      <c r="AI6" s="769"/>
      <c r="AJ6" s="770"/>
      <c r="AK6" s="174"/>
      <c r="AN6" s="46" t="str">
        <f t="shared" si="0"/>
        <v/>
      </c>
      <c r="AQ6" s="46">
        <v>0</v>
      </c>
    </row>
    <row r="7" spans="1:43" s="46" customFormat="1" ht="0.75" hidden="1" customHeight="1">
      <c r="A7" s="117"/>
      <c r="B7" s="117"/>
      <c r="C7" s="117"/>
      <c r="D7" s="117"/>
      <c r="E7" s="662"/>
      <c r="F7" s="662"/>
      <c r="G7" s="662"/>
      <c r="H7" s="662"/>
      <c r="I7" s="662"/>
      <c r="J7" s="679" t="e">
        <f>S5&amp;".1"</f>
        <v>#N/A</v>
      </c>
      <c r="K7" s="117"/>
      <c r="L7" s="117"/>
      <c r="M7" s="178"/>
      <c r="N7" s="178"/>
      <c r="O7" s="178"/>
      <c r="P7" s="748"/>
      <c r="Q7" s="748">
        <v>1</v>
      </c>
      <c r="R7" s="120"/>
      <c r="S7" s="174"/>
      <c r="T7" s="174"/>
      <c r="U7" s="174"/>
      <c r="V7" s="769"/>
      <c r="W7" s="769"/>
      <c r="X7" s="769"/>
      <c r="Y7" s="769"/>
      <c r="Z7" s="769"/>
      <c r="AA7" s="770"/>
      <c r="AB7" s="473"/>
      <c r="AC7" s="769"/>
      <c r="AD7" s="769"/>
      <c r="AE7" s="769"/>
      <c r="AF7" s="769"/>
      <c r="AG7" s="769"/>
      <c r="AH7" s="769"/>
      <c r="AI7" s="769"/>
      <c r="AJ7" s="770"/>
      <c r="AK7" s="174"/>
      <c r="AN7" s="46" t="str">
        <f t="shared" si="0"/>
        <v/>
      </c>
      <c r="AQ7" s="46">
        <v>0</v>
      </c>
    </row>
    <row r="8" spans="1:43" ht="21" hidden="1" customHeight="1">
      <c r="E8" s="662"/>
      <c r="F8" s="662"/>
      <c r="G8" s="662"/>
      <c r="H8" s="662"/>
      <c r="I8" s="662"/>
      <c r="J8" s="662"/>
      <c r="K8" s="29" t="e">
        <f>S5&amp;".1"</f>
        <v>#N/A</v>
      </c>
      <c r="P8" s="748"/>
      <c r="Q8" s="748"/>
      <c r="R8" s="120">
        <v>1</v>
      </c>
      <c r="S8" s="45" t="e">
        <f>$K8</f>
        <v>#N/A</v>
      </c>
      <c r="T8" s="419"/>
      <c r="U8" s="29"/>
      <c r="V8" s="168"/>
      <c r="W8" s="427"/>
      <c r="X8" s="544"/>
      <c r="Y8" s="69" t="s">
        <v>66</v>
      </c>
      <c r="Z8" s="544"/>
      <c r="AA8" s="69" t="s">
        <v>66</v>
      </c>
      <c r="AB8" s="610"/>
      <c r="AC8" s="176" t="s">
        <v>22</v>
      </c>
      <c r="AD8" s="168"/>
      <c r="AE8" s="427"/>
      <c r="AF8" s="544"/>
      <c r="AG8" s="69" t="s">
        <v>66</v>
      </c>
      <c r="AH8" s="544"/>
      <c r="AI8" s="69" t="s">
        <v>66</v>
      </c>
      <c r="AJ8" s="345"/>
      <c r="AK8" s="762" t="s">
        <v>467</v>
      </c>
      <c r="AL8" s="46" t="e">
        <f ca="1">STRCHECKDATE(#REF!)</f>
        <v>#NAME?</v>
      </c>
      <c r="AN8" s="46" t="str">
        <f t="shared" si="0"/>
        <v/>
      </c>
      <c r="AQ8" s="4">
        <v>0</v>
      </c>
    </row>
    <row r="9" spans="1:43" ht="11.25" hidden="1" customHeight="1">
      <c r="E9" s="662"/>
      <c r="F9" s="662"/>
      <c r="G9" s="662"/>
      <c r="H9" s="662"/>
      <c r="I9" s="662"/>
      <c r="J9" s="679"/>
      <c r="P9" s="748"/>
      <c r="Q9" s="748"/>
      <c r="R9" s="120"/>
      <c r="S9" s="434"/>
      <c r="T9" s="37" t="s">
        <v>471</v>
      </c>
      <c r="U9" s="58"/>
      <c r="V9" s="58"/>
      <c r="W9" s="58"/>
      <c r="X9" s="58"/>
      <c r="Y9" s="58"/>
      <c r="Z9" s="58"/>
      <c r="AA9" s="58"/>
      <c r="AB9" s="58"/>
      <c r="AC9" s="58"/>
      <c r="AD9" s="58"/>
      <c r="AE9" s="58"/>
      <c r="AF9" s="58"/>
      <c r="AG9" s="58"/>
      <c r="AH9" s="58"/>
      <c r="AI9" s="58"/>
      <c r="AJ9" s="59"/>
      <c r="AK9" s="764"/>
      <c r="AN9" s="46" t="str">
        <f t="shared" si="0"/>
        <v>Добавить строку</v>
      </c>
      <c r="AQ9" s="4">
        <v>0</v>
      </c>
    </row>
    <row r="10" spans="1:43" s="46" customFormat="1" ht="0.75" hidden="1" customHeight="1">
      <c r="A10" s="117"/>
      <c r="B10" s="117"/>
      <c r="C10" s="117"/>
      <c r="D10" s="117"/>
      <c r="E10" s="662"/>
      <c r="F10" s="662"/>
      <c r="G10" s="662"/>
      <c r="H10" s="662"/>
      <c r="I10" s="679"/>
      <c r="J10" s="117"/>
      <c r="K10" s="117"/>
      <c r="L10" s="117"/>
      <c r="M10" s="178"/>
      <c r="N10" s="178"/>
      <c r="O10" s="178"/>
      <c r="P10" s="748"/>
      <c r="R10" s="120"/>
      <c r="S10" s="455"/>
      <c r="T10" s="354"/>
      <c r="U10" s="354"/>
      <c r="V10" s="354"/>
      <c r="W10" s="354"/>
      <c r="X10" s="354"/>
      <c r="Y10" s="354"/>
      <c r="Z10" s="354"/>
      <c r="AA10" s="354"/>
      <c r="AB10" s="354"/>
      <c r="AC10" s="354"/>
      <c r="AD10" s="354"/>
      <c r="AE10" s="354"/>
      <c r="AF10" s="354"/>
      <c r="AG10" s="354"/>
      <c r="AH10" s="354"/>
      <c r="AI10" s="354"/>
      <c r="AJ10" s="354"/>
      <c r="AK10" s="314"/>
      <c r="AN10" s="46" t="str">
        <f t="shared" si="0"/>
        <v/>
      </c>
      <c r="AQ10" s="46">
        <v>0</v>
      </c>
    </row>
    <row r="11" spans="1:43" s="46" customFormat="1" ht="0.75" hidden="1" customHeight="1">
      <c r="A11" s="117"/>
      <c r="B11" s="117"/>
      <c r="C11" s="117"/>
      <c r="D11" s="117"/>
      <c r="E11" s="662"/>
      <c r="F11" s="662"/>
      <c r="G11" s="662"/>
      <c r="H11" s="679"/>
      <c r="I11" s="117"/>
      <c r="J11" s="117"/>
      <c r="K11" s="117"/>
      <c r="L11" s="117"/>
      <c r="M11" s="117"/>
      <c r="N11" s="117"/>
      <c r="O11" s="117"/>
      <c r="Q11" s="446"/>
      <c r="R11" s="120"/>
      <c r="S11" s="455"/>
      <c r="T11" s="354"/>
      <c r="U11" s="354"/>
      <c r="V11" s="354"/>
      <c r="W11" s="354"/>
      <c r="X11" s="354"/>
      <c r="Y11" s="354"/>
      <c r="Z11" s="354"/>
      <c r="AA11" s="354"/>
      <c r="AB11" s="354"/>
      <c r="AC11" s="354"/>
      <c r="AD11" s="354"/>
      <c r="AE11" s="354"/>
      <c r="AF11" s="354"/>
      <c r="AG11" s="354"/>
      <c r="AH11" s="354"/>
      <c r="AI11" s="354"/>
      <c r="AJ11" s="354"/>
      <c r="AK11" s="314"/>
      <c r="AN11" s="46" t="str">
        <f t="shared" si="0"/>
        <v/>
      </c>
      <c r="AQ11" s="46">
        <v>0</v>
      </c>
    </row>
    <row r="12" spans="1:43" s="46" customFormat="1" ht="0.75" hidden="1" customHeight="1">
      <c r="A12" s="117"/>
      <c r="B12" s="117"/>
      <c r="C12" s="117"/>
      <c r="D12" s="117"/>
      <c r="E12" s="662"/>
      <c r="F12" s="662"/>
      <c r="G12" s="679"/>
      <c r="H12" s="117"/>
      <c r="I12" s="117"/>
      <c r="J12" s="117"/>
      <c r="K12" s="117"/>
      <c r="L12" s="117"/>
      <c r="M12" s="117"/>
      <c r="N12" s="117"/>
      <c r="O12" s="117"/>
      <c r="Q12" s="446"/>
      <c r="S12" s="449"/>
      <c r="T12" s="160" t="s">
        <v>417</v>
      </c>
      <c r="U12" s="160"/>
      <c r="V12" s="160"/>
      <c r="W12" s="160"/>
      <c r="X12" s="160"/>
      <c r="Y12" s="160"/>
      <c r="Z12" s="160"/>
      <c r="AA12" s="160"/>
      <c r="AB12" s="160"/>
      <c r="AC12" s="160"/>
      <c r="AD12" s="160"/>
      <c r="AE12" s="160"/>
      <c r="AF12" s="160"/>
      <c r="AG12" s="160"/>
      <c r="AH12" s="160"/>
      <c r="AI12" s="160"/>
      <c r="AJ12" s="160"/>
      <c r="AK12" s="160"/>
      <c r="AN12" s="46" t="str">
        <f t="shared" si="0"/>
        <v>Добавить источник для дифференциации</v>
      </c>
      <c r="AQ12" s="46">
        <v>0</v>
      </c>
    </row>
    <row r="13" spans="1:43" s="46" customFormat="1" ht="0.75" hidden="1" customHeight="1">
      <c r="A13" s="117"/>
      <c r="B13" s="117"/>
      <c r="C13" s="117"/>
      <c r="D13" s="117"/>
      <c r="E13" s="662"/>
      <c r="F13" s="679"/>
      <c r="G13" s="117"/>
      <c r="H13" s="117"/>
      <c r="I13" s="117"/>
      <c r="J13" s="117"/>
      <c r="K13" s="117"/>
      <c r="L13" s="117"/>
      <c r="M13" s="178"/>
      <c r="N13" s="178"/>
      <c r="O13" s="117"/>
      <c r="Q13" s="446"/>
      <c r="S13" s="449"/>
      <c r="T13" s="160" t="s">
        <v>418</v>
      </c>
      <c r="U13" s="160"/>
      <c r="V13" s="160"/>
      <c r="W13" s="160"/>
      <c r="X13" s="160"/>
      <c r="Y13" s="160"/>
      <c r="Z13" s="160"/>
      <c r="AA13" s="160"/>
      <c r="AB13" s="160"/>
      <c r="AC13" s="160"/>
      <c r="AD13" s="160"/>
      <c r="AE13" s="160"/>
      <c r="AF13" s="160"/>
      <c r="AG13" s="160"/>
      <c r="AH13" s="160"/>
      <c r="AI13" s="160"/>
      <c r="AJ13" s="160"/>
      <c r="AK13" s="160"/>
      <c r="AN13" s="46" t="str">
        <f t="shared" si="0"/>
        <v>Добавить централизованную систему для дифференциации</v>
      </c>
      <c r="AQ13" s="46">
        <v>0</v>
      </c>
    </row>
    <row r="14" spans="1:43" s="46" customFormat="1" ht="0.75" hidden="1" customHeight="1">
      <c r="A14" s="117"/>
      <c r="B14" s="117"/>
      <c r="C14" s="117"/>
      <c r="D14" s="117"/>
      <c r="E14" s="679"/>
      <c r="F14" s="117"/>
      <c r="G14" s="117"/>
      <c r="H14" s="117"/>
      <c r="I14" s="117"/>
      <c r="J14" s="117"/>
      <c r="K14" s="117"/>
      <c r="L14" s="117"/>
      <c r="M14" s="178"/>
      <c r="N14" s="178"/>
      <c r="O14" s="117"/>
      <c r="Q14" s="446"/>
      <c r="S14" s="449"/>
      <c r="T14" s="160" t="s">
        <v>419</v>
      </c>
      <c r="U14" s="160"/>
      <c r="V14" s="160"/>
      <c r="W14" s="160"/>
      <c r="X14" s="160"/>
      <c r="Y14" s="160"/>
      <c r="Z14" s="160"/>
      <c r="AA14" s="160"/>
      <c r="AB14" s="160"/>
      <c r="AC14" s="160"/>
      <c r="AD14" s="160"/>
      <c r="AE14" s="160"/>
      <c r="AF14" s="160"/>
      <c r="AG14" s="160"/>
      <c r="AH14" s="160"/>
      <c r="AI14" s="160"/>
      <c r="AJ14" s="160"/>
      <c r="AK14" s="160"/>
      <c r="AN14" s="46" t="str">
        <f t="shared" si="0"/>
        <v>Добавить территорию для дифференциации</v>
      </c>
      <c r="AQ14" s="46">
        <v>0</v>
      </c>
    </row>
    <row r="15" spans="1:43" ht="14.25" hidden="1" customHeight="1">
      <c r="AQ15" s="4">
        <v>0</v>
      </c>
    </row>
    <row r="16" spans="1:43" ht="14.25" hidden="1" customHeight="1">
      <c r="AC16" s="160"/>
      <c r="AD16" s="111"/>
      <c r="AE16" s="463"/>
      <c r="AF16" s="547"/>
      <c r="AG16" s="332" t="s">
        <v>66</v>
      </c>
      <c r="AH16" s="547"/>
      <c r="AI16" s="332" t="s">
        <v>66</v>
      </c>
      <c r="AQ16" s="4">
        <v>0</v>
      </c>
    </row>
    <row r="17" spans="1:43" ht="14.25" hidden="1" customHeight="1">
      <c r="AL17" s="117"/>
      <c r="AM17" s="117"/>
      <c r="AN17" s="117"/>
      <c r="AO17" s="117"/>
      <c r="AP17" s="117"/>
      <c r="AQ17" s="4">
        <v>0</v>
      </c>
    </row>
    <row r="18" spans="1:43" ht="14.25" hidden="1" customHeight="1">
      <c r="O18" s="31" t="s">
        <v>420</v>
      </c>
      <c r="X18" s="31"/>
      <c r="Z18" s="31"/>
      <c r="AF18" s="31"/>
      <c r="AH18" s="31"/>
      <c r="AL18" s="117"/>
      <c r="AM18" s="117"/>
      <c r="AN18" s="117"/>
      <c r="AO18" s="117"/>
      <c r="AP18" s="117"/>
      <c r="AQ18" s="4">
        <v>0</v>
      </c>
    </row>
    <row r="19" spans="1:43" ht="14.25" hidden="1" customHeight="1">
      <c r="AL19" s="117"/>
      <c r="AM19" s="117"/>
      <c r="AN19" s="117"/>
      <c r="AO19" s="117"/>
      <c r="AP19" s="117"/>
      <c r="AQ19" s="4">
        <v>0</v>
      </c>
    </row>
    <row r="20" spans="1:43" s="43" customFormat="1" ht="14.25" hidden="1" customHeight="1">
      <c r="A20" s="4"/>
      <c r="B20" s="4"/>
      <c r="C20" s="4"/>
      <c r="D20" s="4"/>
      <c r="E20" s="4"/>
      <c r="F20" s="4"/>
      <c r="G20" s="4"/>
      <c r="H20" s="4"/>
      <c r="I20" s="4"/>
      <c r="J20" s="4"/>
      <c r="K20" s="4"/>
      <c r="L20" s="4"/>
      <c r="M20" s="23"/>
      <c r="N20" s="23"/>
      <c r="O20" s="4" t="s">
        <v>421</v>
      </c>
      <c r="P20" s="167"/>
      <c r="Q20" s="452"/>
      <c r="R20" s="452"/>
      <c r="Y20" s="43" t="s">
        <v>423</v>
      </c>
      <c r="AA20" s="43" t="s">
        <v>424</v>
      </c>
      <c r="AC20" s="43" t="s">
        <v>473</v>
      </c>
      <c r="AG20" s="43" t="s">
        <v>423</v>
      </c>
      <c r="AI20" s="43" t="s">
        <v>424</v>
      </c>
      <c r="AL20" s="46"/>
      <c r="AM20" s="46"/>
      <c r="AN20" s="46"/>
      <c r="AO20" s="46"/>
      <c r="AP20" s="46"/>
      <c r="AQ20" s="43">
        <v>0</v>
      </c>
    </row>
    <row r="21" spans="1:43" ht="14.25" hidden="1" customHeight="1">
      <c r="O21" s="4"/>
      <c r="AL21" s="117"/>
      <c r="AM21" s="117"/>
      <c r="AN21" s="117"/>
      <c r="AO21" s="117"/>
      <c r="AP21" s="117"/>
      <c r="AQ21" s="4">
        <v>0</v>
      </c>
    </row>
    <row r="22" spans="1:43" ht="14.25" hidden="1" customHeight="1">
      <c r="O22" s="4"/>
      <c r="AL22" s="117"/>
      <c r="AM22" s="117"/>
      <c r="AN22" s="117"/>
      <c r="AO22" s="117"/>
      <c r="AP22" s="117"/>
      <c r="AQ22" s="4">
        <v>0</v>
      </c>
    </row>
    <row r="23" spans="1:43" ht="14.65" customHeight="1">
      <c r="Q23" s="97"/>
      <c r="R23" s="19"/>
      <c r="S23" s="6"/>
      <c r="T23" s="6"/>
      <c r="U23" s="6"/>
      <c r="AQ23" s="4">
        <v>14</v>
      </c>
    </row>
    <row r="24" spans="1:43" ht="39.75" customHeight="1">
      <c r="Q24" s="97"/>
      <c r="R24" s="19"/>
      <c r="S24" s="697"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697"/>
      <c r="U24" s="697"/>
      <c r="V24" s="697"/>
      <c r="W24" s="697"/>
      <c r="X24" s="697"/>
      <c r="Y24" s="697"/>
      <c r="Z24" s="697"/>
      <c r="AA24" s="697"/>
      <c r="AB24" s="697"/>
      <c r="AC24" s="697"/>
      <c r="AD24" s="697"/>
      <c r="AE24" s="697"/>
      <c r="AF24" s="697"/>
      <c r="AG24" s="697"/>
      <c r="AH24" s="697"/>
      <c r="AI24" s="40"/>
      <c r="AQ24" s="4">
        <v>38</v>
      </c>
    </row>
    <row r="25" spans="1:43" ht="14.65" customHeight="1">
      <c r="Q25" s="97"/>
      <c r="R25" s="19"/>
      <c r="S25" s="712" t="str">
        <f>IF(org=0,"Не определено",org)</f>
        <v>ООО "Восточная Тепловая компания"</v>
      </c>
      <c r="T25" s="712"/>
      <c r="U25" s="712"/>
      <c r="V25" s="712"/>
      <c r="W25" s="712"/>
      <c r="X25" s="712"/>
      <c r="Y25" s="712"/>
      <c r="Z25" s="712"/>
      <c r="AA25" s="712"/>
      <c r="AB25" s="712"/>
      <c r="AC25" s="712"/>
      <c r="AD25" s="712"/>
      <c r="AE25" s="712"/>
      <c r="AF25" s="712"/>
      <c r="AG25" s="712"/>
      <c r="AH25" s="712"/>
      <c r="AI25" s="40"/>
      <c r="AQ25" s="4">
        <v>14</v>
      </c>
    </row>
    <row r="26" spans="1:43" ht="14.25" hidden="1" customHeight="1">
      <c r="Q26" s="97"/>
      <c r="R26" s="19"/>
      <c r="S26" s="6"/>
      <c r="T26" s="6"/>
      <c r="U26" s="6"/>
      <c r="V26" s="109"/>
      <c r="W26" s="109"/>
      <c r="X26" s="109"/>
      <c r="Y26" s="109"/>
      <c r="Z26" s="109"/>
      <c r="AA26" s="109"/>
      <c r="AB26" s="109"/>
      <c r="AC26" s="109"/>
      <c r="AD26" s="109"/>
      <c r="AE26" s="109"/>
      <c r="AF26" s="109"/>
      <c r="AG26" s="109"/>
      <c r="AH26" s="109"/>
      <c r="AI26" s="109"/>
      <c r="AQ26" s="4">
        <v>0</v>
      </c>
    </row>
    <row r="27" spans="1:43" s="22" customFormat="1" ht="25.5" hidden="1" customHeight="1">
      <c r="A27" s="4"/>
      <c r="B27" s="4"/>
      <c r="C27" s="4"/>
      <c r="D27" s="4"/>
      <c r="E27" s="4"/>
      <c r="F27" s="4"/>
      <c r="G27" s="4"/>
      <c r="H27" s="4"/>
      <c r="I27" s="4"/>
      <c r="J27" s="4"/>
      <c r="K27" s="4"/>
      <c r="L27" s="4"/>
      <c r="M27" s="4"/>
      <c r="N27" s="4"/>
      <c r="O27" s="4"/>
      <c r="P27" s="43"/>
      <c r="Q27" s="43"/>
      <c r="S27" s="721" t="s">
        <v>42</v>
      </c>
      <c r="T27" s="721"/>
      <c r="U27" s="453"/>
      <c r="V27" s="741" t="str">
        <f>IF(TITLE_NAME_OR_PR_CHANGE="",IF(TITLE_NAME_OR_PR="","",TITLE_NAME_OR_PR),TITLE_NAME_OR_PR_CHANGE)</f>
        <v/>
      </c>
      <c r="W27" s="741"/>
      <c r="X27" s="741"/>
      <c r="Y27" s="741"/>
      <c r="Z27" s="741"/>
      <c r="AA27" s="4"/>
      <c r="AB27" s="4"/>
      <c r="AC27" s="741"/>
      <c r="AD27" s="741"/>
      <c r="AE27" s="741"/>
      <c r="AF27" s="741"/>
      <c r="AG27" s="741"/>
      <c r="AH27" s="741"/>
      <c r="AI27" s="4"/>
      <c r="AJ27" s="4"/>
      <c r="AK27" s="96"/>
      <c r="AL27" s="46"/>
      <c r="AM27" s="46"/>
      <c r="AN27" s="46"/>
      <c r="AO27" s="46"/>
      <c r="AP27" s="46"/>
      <c r="AQ27" s="22">
        <v>0</v>
      </c>
    </row>
    <row r="28" spans="1:43" s="22" customFormat="1" ht="18.75" hidden="1" customHeight="1">
      <c r="A28" s="4"/>
      <c r="B28" s="4"/>
      <c r="C28" s="4"/>
      <c r="D28" s="4"/>
      <c r="E28" s="4"/>
      <c r="F28" s="4"/>
      <c r="G28" s="4"/>
      <c r="H28" s="4"/>
      <c r="I28" s="4"/>
      <c r="J28" s="4"/>
      <c r="K28" s="4"/>
      <c r="L28" s="4"/>
      <c r="M28" s="4"/>
      <c r="N28" s="4"/>
      <c r="O28" s="4"/>
      <c r="P28" s="43"/>
      <c r="Q28" s="43"/>
      <c r="S28" s="721" t="s">
        <v>426</v>
      </c>
      <c r="T28" s="721"/>
      <c r="U28" s="453"/>
      <c r="V28" s="740" t="str">
        <f>IF(TITLE_DATE_PR_CHANGE="",IF(TITLE_DATE_PR="","",TITLE_DATE_PR),TITLE_DATE_PR_CHANGE)</f>
        <v/>
      </c>
      <c r="W28" s="740"/>
      <c r="X28" s="740"/>
      <c r="Y28" s="740"/>
      <c r="Z28" s="740"/>
      <c r="AA28" s="4"/>
      <c r="AB28" s="4"/>
      <c r="AC28" s="740"/>
      <c r="AD28" s="740"/>
      <c r="AE28" s="740"/>
      <c r="AF28" s="740"/>
      <c r="AG28" s="740"/>
      <c r="AH28" s="740"/>
      <c r="AI28" s="4"/>
      <c r="AJ28" s="4"/>
      <c r="AK28" s="96"/>
      <c r="AL28" s="46"/>
      <c r="AM28" s="46"/>
      <c r="AN28" s="46"/>
      <c r="AO28" s="46"/>
      <c r="AP28" s="46"/>
      <c r="AQ28" s="22">
        <v>0</v>
      </c>
    </row>
    <row r="29" spans="1:43" s="22" customFormat="1" ht="18.75" hidden="1" customHeight="1">
      <c r="A29" s="4"/>
      <c r="B29" s="4"/>
      <c r="C29" s="4"/>
      <c r="D29" s="4"/>
      <c r="E29" s="4"/>
      <c r="F29" s="4"/>
      <c r="G29" s="4"/>
      <c r="H29" s="4"/>
      <c r="I29" s="4"/>
      <c r="J29" s="4"/>
      <c r="K29" s="4"/>
      <c r="L29" s="4"/>
      <c r="M29" s="4"/>
      <c r="N29" s="4"/>
      <c r="O29" s="4"/>
      <c r="P29" s="43"/>
      <c r="Q29" s="43"/>
      <c r="S29" s="721" t="s">
        <v>427</v>
      </c>
      <c r="T29" s="721"/>
      <c r="U29" s="453"/>
      <c r="V29" s="741" t="str">
        <f>IF(TITLE_NUMBER_PR_CHANGE="",IF(TITLE_NUMBER_PR="","",TITLE_NUMBER_PR),TITLE_NUMBER_PR_CHANGE)</f>
        <v/>
      </c>
      <c r="W29" s="741"/>
      <c r="X29" s="741"/>
      <c r="Y29" s="741"/>
      <c r="Z29" s="741"/>
      <c r="AA29" s="4"/>
      <c r="AB29" s="4"/>
      <c r="AC29" s="741"/>
      <c r="AD29" s="741"/>
      <c r="AE29" s="741"/>
      <c r="AF29" s="741"/>
      <c r="AG29" s="741"/>
      <c r="AH29" s="741"/>
      <c r="AI29" s="4"/>
      <c r="AJ29" s="4"/>
      <c r="AK29" s="96"/>
      <c r="AL29" s="46"/>
      <c r="AM29" s="46"/>
      <c r="AN29" s="46"/>
      <c r="AO29" s="46"/>
      <c r="AP29" s="46"/>
      <c r="AQ29" s="22">
        <v>0</v>
      </c>
    </row>
    <row r="30" spans="1:43" s="22" customFormat="1" ht="18.75" hidden="1" customHeight="1">
      <c r="A30" s="4"/>
      <c r="B30" s="4"/>
      <c r="C30" s="4"/>
      <c r="D30" s="4"/>
      <c r="E30" s="4"/>
      <c r="F30" s="4"/>
      <c r="G30" s="4"/>
      <c r="H30" s="4"/>
      <c r="I30" s="4"/>
      <c r="J30" s="4"/>
      <c r="K30" s="4"/>
      <c r="L30" s="4"/>
      <c r="M30" s="4"/>
      <c r="N30" s="4"/>
      <c r="O30" s="4"/>
      <c r="P30" s="43"/>
      <c r="Q30" s="43"/>
      <c r="S30" s="721" t="s">
        <v>43</v>
      </c>
      <c r="T30" s="721"/>
      <c r="U30" s="453"/>
      <c r="V30" s="741" t="str">
        <f>IF(TITLE_IST_PUB_CHANGE="",IF(TITLE_IST_PUB="","",TITLE_IST_PUB),TITLE_IST_PUB_CHANGE)</f>
        <v/>
      </c>
      <c r="W30" s="741"/>
      <c r="X30" s="741"/>
      <c r="Y30" s="741"/>
      <c r="Z30" s="741"/>
      <c r="AA30" s="4"/>
      <c r="AB30" s="4"/>
      <c r="AC30" s="741"/>
      <c r="AD30" s="741"/>
      <c r="AE30" s="741"/>
      <c r="AF30" s="741"/>
      <c r="AG30" s="741"/>
      <c r="AH30" s="741"/>
      <c r="AI30" s="4"/>
      <c r="AJ30" s="4"/>
      <c r="AK30" s="96"/>
      <c r="AL30" s="46"/>
      <c r="AM30" s="46"/>
      <c r="AN30" s="46"/>
      <c r="AO30" s="46"/>
      <c r="AP30" s="46"/>
      <c r="AQ30" s="22">
        <v>0</v>
      </c>
    </row>
    <row r="31" spans="1:43" ht="14.25" hidden="1" customHeight="1">
      <c r="Q31" s="97"/>
      <c r="R31" s="19"/>
      <c r="S31" s="6"/>
      <c r="T31" s="6"/>
      <c r="U31" s="6"/>
      <c r="V31" s="109"/>
      <c r="W31" s="109"/>
      <c r="X31" s="109"/>
      <c r="Y31" s="109"/>
      <c r="Z31" s="109"/>
      <c r="AA31" s="109"/>
      <c r="AB31" s="109"/>
      <c r="AC31" s="109"/>
      <c r="AD31" s="109"/>
      <c r="AE31" s="109"/>
      <c r="AF31" s="109"/>
      <c r="AG31" s="109"/>
      <c r="AH31" s="109"/>
      <c r="AI31" s="109"/>
      <c r="AQ31" s="4">
        <v>0</v>
      </c>
    </row>
    <row r="32" spans="1:43" s="22" customFormat="1" ht="18.75" hidden="1" customHeight="1">
      <c r="A32" s="4"/>
      <c r="B32" s="4"/>
      <c r="C32" s="4"/>
      <c r="D32" s="4"/>
      <c r="E32" s="4"/>
      <c r="F32" s="4"/>
      <c r="G32" s="4"/>
      <c r="H32" s="4"/>
      <c r="I32" s="4"/>
      <c r="J32" s="4"/>
      <c r="K32" s="4"/>
      <c r="L32" s="4"/>
      <c r="M32" s="4"/>
      <c r="N32" s="4"/>
      <c r="O32" s="4"/>
      <c r="P32" s="43"/>
      <c r="Q32" s="43"/>
      <c r="S32" s="721" t="s">
        <v>426</v>
      </c>
      <c r="T32" s="721"/>
      <c r="U32" s="453"/>
      <c r="V32" s="740" t="str">
        <f>IF(TITLE_DATE_PR_CHANGE="",IF(TITLE_DATE_PR="","",TITLE_DATE_PR),TITLE_DATE_PR_CHANGE)</f>
        <v/>
      </c>
      <c r="W32" s="740"/>
      <c r="X32" s="740"/>
      <c r="Y32" s="740"/>
      <c r="Z32" s="740"/>
      <c r="AA32" s="4"/>
      <c r="AB32" s="4"/>
      <c r="AC32" s="740"/>
      <c r="AD32" s="740"/>
      <c r="AE32" s="740"/>
      <c r="AF32" s="740"/>
      <c r="AG32" s="740"/>
      <c r="AH32" s="740"/>
      <c r="AI32" s="4"/>
      <c r="AJ32" s="4"/>
      <c r="AK32" s="96"/>
      <c r="AL32" s="46"/>
      <c r="AM32" s="46"/>
      <c r="AN32" s="46"/>
      <c r="AO32" s="46"/>
      <c r="AP32" s="46"/>
      <c r="AQ32" s="22">
        <v>0</v>
      </c>
    </row>
    <row r="33" spans="1:43" s="22" customFormat="1" ht="18" hidden="1" customHeight="1">
      <c r="A33" s="4"/>
      <c r="B33" s="4"/>
      <c r="C33" s="4"/>
      <c r="D33" s="4"/>
      <c r="E33" s="4"/>
      <c r="F33" s="4"/>
      <c r="G33" s="4"/>
      <c r="H33" s="4"/>
      <c r="I33" s="4"/>
      <c r="J33" s="4"/>
      <c r="K33" s="4"/>
      <c r="L33" s="4"/>
      <c r="M33" s="4"/>
      <c r="N33" s="4"/>
      <c r="O33" s="4"/>
      <c r="P33" s="43"/>
      <c r="Q33" s="43"/>
      <c r="S33" s="721" t="s">
        <v>427</v>
      </c>
      <c r="T33" s="721"/>
      <c r="U33" s="453"/>
      <c r="V33" s="741" t="str">
        <f>IF(TITLE_NUMBER_PR_CHANGE="",IF(TITLE_NUMBER_PR="","",TITLE_NUMBER_PR),TITLE_NUMBER_PR_CHANGE)</f>
        <v/>
      </c>
      <c r="W33" s="741"/>
      <c r="X33" s="741"/>
      <c r="Y33" s="741"/>
      <c r="Z33" s="741"/>
      <c r="AA33" s="4"/>
      <c r="AB33" s="4"/>
      <c r="AC33" s="741"/>
      <c r="AD33" s="741"/>
      <c r="AE33" s="741"/>
      <c r="AF33" s="741"/>
      <c r="AG33" s="741"/>
      <c r="AH33" s="741"/>
      <c r="AI33" s="4"/>
      <c r="AJ33" s="4"/>
      <c r="AK33" s="96"/>
      <c r="AL33" s="46"/>
      <c r="AM33" s="46"/>
      <c r="AN33" s="46"/>
      <c r="AO33" s="46"/>
      <c r="AP33" s="46"/>
      <c r="AQ33" s="22">
        <v>0</v>
      </c>
    </row>
    <row r="34" spans="1:43" s="22" customFormat="1" ht="1.1499999999999999" customHeight="1">
      <c r="A34" s="4"/>
      <c r="B34" s="4"/>
      <c r="C34" s="4"/>
      <c r="D34" s="4"/>
      <c r="E34" s="4"/>
      <c r="F34" s="4"/>
      <c r="G34" s="4"/>
      <c r="H34" s="4"/>
      <c r="I34" s="4"/>
      <c r="J34" s="4"/>
      <c r="K34" s="4"/>
      <c r="L34" s="4"/>
      <c r="M34" s="4"/>
      <c r="N34" s="4"/>
      <c r="O34" s="4"/>
      <c r="P34" s="43"/>
      <c r="Q34" s="43"/>
      <c r="S34" s="4"/>
      <c r="T34" s="4"/>
      <c r="U34" s="4"/>
      <c r="V34" s="4"/>
      <c r="W34" s="4"/>
      <c r="X34" s="4"/>
      <c r="Y34" s="4"/>
      <c r="Z34" s="4"/>
      <c r="AA34" s="46" t="s">
        <v>430</v>
      </c>
      <c r="AB34" s="46"/>
      <c r="AC34" s="4"/>
      <c r="AD34" s="4"/>
      <c r="AE34" s="4"/>
      <c r="AF34" s="4"/>
      <c r="AG34" s="4"/>
      <c r="AH34" s="4"/>
      <c r="AI34" s="46" t="s">
        <v>430</v>
      </c>
      <c r="AL34" s="46"/>
      <c r="AM34" s="46"/>
      <c r="AN34" s="46"/>
      <c r="AO34" s="46"/>
      <c r="AP34" s="46"/>
      <c r="AQ34" s="22">
        <v>1</v>
      </c>
    </row>
    <row r="35" spans="1:43" ht="14.65" customHeight="1">
      <c r="Q35" s="97"/>
      <c r="R35" s="19"/>
      <c r="S35" s="6"/>
      <c r="T35" s="6"/>
      <c r="U35" s="420"/>
      <c r="V35" s="755"/>
      <c r="W35" s="755"/>
      <c r="X35" s="755"/>
      <c r="Y35" s="755"/>
      <c r="Z35" s="755"/>
      <c r="AA35" s="755"/>
      <c r="AB35" s="609"/>
      <c r="AC35" s="755"/>
      <c r="AD35" s="755"/>
      <c r="AE35" s="755"/>
      <c r="AF35" s="755"/>
      <c r="AG35" s="755"/>
      <c r="AH35" s="755"/>
      <c r="AI35" s="755"/>
      <c r="AQ35" s="4">
        <v>14</v>
      </c>
    </row>
    <row r="36" spans="1:43" ht="14.65" customHeight="1">
      <c r="Q36" s="97"/>
      <c r="R36" s="19"/>
      <c r="S36" s="679" t="s">
        <v>303</v>
      </c>
      <c r="T36" s="679"/>
      <c r="U36" s="679"/>
      <c r="V36" s="679"/>
      <c r="W36" s="679"/>
      <c r="X36" s="679"/>
      <c r="Y36" s="679"/>
      <c r="Z36" s="679"/>
      <c r="AA36" s="673"/>
      <c r="AB36" s="673"/>
      <c r="AC36" s="673"/>
      <c r="AD36" s="679"/>
      <c r="AE36" s="679"/>
      <c r="AF36" s="679"/>
      <c r="AG36" s="679"/>
      <c r="AH36" s="679"/>
      <c r="AI36" s="679"/>
      <c r="AJ36" s="679"/>
      <c r="AK36" s="679" t="s">
        <v>304</v>
      </c>
      <c r="AQ36" s="4">
        <v>14</v>
      </c>
    </row>
    <row r="37" spans="1:43" ht="14.65" customHeight="1">
      <c r="Q37" s="97"/>
      <c r="R37" s="19"/>
      <c r="S37" s="722" t="s">
        <v>88</v>
      </c>
      <c r="T37" s="722" t="s">
        <v>502</v>
      </c>
      <c r="U37" s="100"/>
      <c r="V37" s="757"/>
      <c r="W37" s="757"/>
      <c r="X37" s="757"/>
      <c r="Y37" s="757"/>
      <c r="Z37" s="757"/>
      <c r="AA37" s="722" t="s">
        <v>433</v>
      </c>
      <c r="AB37" s="721" t="s">
        <v>503</v>
      </c>
      <c r="AC37" s="721" t="s">
        <v>477</v>
      </c>
      <c r="AD37" s="767" t="s">
        <v>432</v>
      </c>
      <c r="AE37" s="767"/>
      <c r="AF37" s="757"/>
      <c r="AG37" s="757"/>
      <c r="AH37" s="758"/>
      <c r="AI37" s="724" t="s">
        <v>433</v>
      </c>
      <c r="AJ37" s="759" t="s">
        <v>435</v>
      </c>
      <c r="AK37" s="679"/>
      <c r="AQ37" s="4">
        <v>14</v>
      </c>
    </row>
    <row r="38" spans="1:43" ht="35.65" customHeight="1">
      <c r="Q38" s="97"/>
      <c r="R38" s="19"/>
      <c r="S38" s="722"/>
      <c r="T38" s="722"/>
      <c r="U38" s="349"/>
      <c r="V38" s="661" t="s">
        <v>480</v>
      </c>
      <c r="W38" s="679"/>
      <c r="X38" s="674" t="s">
        <v>439</v>
      </c>
      <c r="Y38" s="697"/>
      <c r="Z38" s="697"/>
      <c r="AA38" s="722"/>
      <c r="AB38" s="721"/>
      <c r="AC38" s="721"/>
      <c r="AD38" s="661" t="s">
        <v>480</v>
      </c>
      <c r="AE38" s="679"/>
      <c r="AF38" s="697" t="s">
        <v>439</v>
      </c>
      <c r="AG38" s="697"/>
      <c r="AH38" s="672"/>
      <c r="AI38" s="725"/>
      <c r="AJ38" s="760"/>
      <c r="AK38" s="679"/>
      <c r="AQ38" s="4">
        <v>34</v>
      </c>
    </row>
    <row r="39" spans="1:43" ht="14.65" customHeight="1">
      <c r="Q39" s="97"/>
      <c r="R39" s="19"/>
      <c r="S39" s="722"/>
      <c r="T39" s="722"/>
      <c r="U39" s="349"/>
      <c r="V39" s="741" t="str">
        <f>IF($AD$39&lt;&gt;"",$AD$39,"")</f>
        <v/>
      </c>
      <c r="W39" s="741"/>
      <c r="X39" s="677"/>
      <c r="Y39" s="712"/>
      <c r="Z39" s="712"/>
      <c r="AA39" s="722"/>
      <c r="AB39" s="721"/>
      <c r="AC39" s="721"/>
      <c r="AD39" s="797"/>
      <c r="AE39" s="706"/>
      <c r="AF39" s="712"/>
      <c r="AG39" s="712"/>
      <c r="AH39" s="675"/>
      <c r="AI39" s="725"/>
      <c r="AJ39" s="760"/>
      <c r="AK39" s="679"/>
      <c r="AQ39" s="4">
        <v>14</v>
      </c>
    </row>
    <row r="40" spans="1:43" ht="14.65" customHeight="1">
      <c r="B40" s="4" t="s">
        <v>140</v>
      </c>
      <c r="C40" s="4" t="s">
        <v>141</v>
      </c>
      <c r="D40" s="4" t="s">
        <v>142</v>
      </c>
      <c r="E40" s="4" t="s">
        <v>440</v>
      </c>
      <c r="F40" s="4" t="s">
        <v>441</v>
      </c>
      <c r="G40" s="4" t="s">
        <v>442</v>
      </c>
      <c r="H40" s="4" t="s">
        <v>443</v>
      </c>
      <c r="I40" s="4" t="s">
        <v>444</v>
      </c>
      <c r="J40" s="4" t="s">
        <v>445</v>
      </c>
      <c r="K40" s="4" t="s">
        <v>446</v>
      </c>
      <c r="L40" s="4" t="s">
        <v>421</v>
      </c>
      <c r="Q40" s="97"/>
      <c r="R40" s="19"/>
      <c r="S40" s="722"/>
      <c r="T40" s="722"/>
      <c r="U40" s="101"/>
      <c r="V40" s="24" t="s">
        <v>481</v>
      </c>
      <c r="W40" s="24" t="s">
        <v>482</v>
      </c>
      <c r="X40" s="27" t="s">
        <v>449</v>
      </c>
      <c r="Y40" s="728" t="s">
        <v>450</v>
      </c>
      <c r="Z40" s="733"/>
      <c r="AA40" s="722"/>
      <c r="AB40" s="721"/>
      <c r="AC40" s="721"/>
      <c r="AD40" s="611" t="s">
        <v>481</v>
      </c>
      <c r="AE40" s="588" t="s">
        <v>482</v>
      </c>
      <c r="AF40" s="27" t="s">
        <v>449</v>
      </c>
      <c r="AG40" s="728" t="s">
        <v>450</v>
      </c>
      <c r="AH40" s="734"/>
      <c r="AI40" s="726"/>
      <c r="AJ40" s="761"/>
      <c r="AK40" s="679"/>
      <c r="AQ40" s="4">
        <v>14</v>
      </c>
    </row>
    <row r="41" spans="1:43" s="117" customFormat="1" ht="11.25" hidden="1" customHeight="1">
      <c r="A41" s="4"/>
      <c r="B41" s="4"/>
      <c r="C41" s="4"/>
      <c r="D41" s="4"/>
      <c r="E41" s="4"/>
      <c r="F41" s="4"/>
      <c r="G41" s="4"/>
      <c r="H41" s="4"/>
      <c r="I41" s="4"/>
      <c r="J41" s="4"/>
      <c r="K41" s="4"/>
      <c r="L41" s="4"/>
      <c r="M41" s="23"/>
      <c r="N41" s="23"/>
      <c r="O41" s="23"/>
      <c r="P41" s="160"/>
      <c r="Q41" s="424"/>
      <c r="R41" s="424">
        <v>1</v>
      </c>
      <c r="S41" s="425" t="s">
        <v>110</v>
      </c>
      <c r="T41" s="425" t="s">
        <v>111</v>
      </c>
      <c r="U41" s="421" t="str">
        <f ca="1">OFFSET(U41,0,-1)</f>
        <v>2</v>
      </c>
      <c r="V41" s="426">
        <f ca="1">OFFSET(V41,0,-1)+1</f>
        <v>3</v>
      </c>
      <c r="W41" s="426">
        <f ca="1">OFFSET(W41,0,-1)+1</f>
        <v>4</v>
      </c>
      <c r="X41" s="426">
        <f ca="1">OFFSET(X41,0,-1)+1</f>
        <v>5</v>
      </c>
      <c r="Y41" s="754">
        <f ca="1">OFFSET(Y41,0,-1)+1</f>
        <v>6</v>
      </c>
      <c r="Z41" s="754"/>
      <c r="AA41" s="157">
        <f ca="1">OFFSET(AA41,0,-2)+1</f>
        <v>7</v>
      </c>
      <c r="AB41" s="157"/>
      <c r="AC41" s="157"/>
      <c r="AD41" s="426">
        <f ca="1">OFFSET(AD41,0,-1)+1</f>
        <v>1</v>
      </c>
      <c r="AE41" s="426">
        <f ca="1">OFFSET(AE41,0,-1)+1</f>
        <v>2</v>
      </c>
      <c r="AF41" s="426">
        <f ca="1">OFFSET(AF41,0,-1)+1</f>
        <v>3</v>
      </c>
      <c r="AG41" s="754">
        <f ca="1">OFFSET(AG41,0,-1)+1</f>
        <v>4</v>
      </c>
      <c r="AH41" s="754"/>
      <c r="AI41" s="426">
        <f ca="1">OFFSET(AI41,0,-2)+1</f>
        <v>5</v>
      </c>
      <c r="AJ41" s="421">
        <f ca="1">OFFSET(AJ41,0,-1)</f>
        <v>5</v>
      </c>
      <c r="AK41" s="426">
        <f ca="1">OFFSET(AK41,0,-1)+1</f>
        <v>6</v>
      </c>
      <c r="AL41" s="46"/>
      <c r="AM41" s="46"/>
      <c r="AN41" s="46"/>
      <c r="AO41" s="46"/>
      <c r="AP41" s="46"/>
      <c r="AQ41" s="117">
        <v>0</v>
      </c>
    </row>
    <row r="42" spans="1:43" ht="107.25" customHeight="1">
      <c r="A42" s="4" t="s">
        <v>209</v>
      </c>
      <c r="E42" s="679">
        <v>1</v>
      </c>
      <c r="M42" s="4"/>
      <c r="N42" s="4"/>
      <c r="O42" s="4"/>
      <c r="Q42" s="43"/>
      <c r="R42" s="119"/>
      <c r="S42" s="24">
        <f>INDEX(PT_DIFFERENTIATION_NUM_NTAR,MATCH(A42,PT_DIFFERENTIATION_NTAR_ID,0))</f>
        <v>0</v>
      </c>
      <c r="T42" s="29" t="s">
        <v>128</v>
      </c>
      <c r="U42" s="29"/>
      <c r="V42" s="743"/>
      <c r="W42" s="743"/>
      <c r="X42" s="743"/>
      <c r="Y42" s="743"/>
      <c r="Z42" s="743"/>
      <c r="AA42" s="744"/>
      <c r="AB42" s="608"/>
      <c r="AC42" s="743" t="str">
        <f>INDEX(PT_DIFFERENTIATION_NTAR,MATCH(A42,PT_DIFFERENTIATION_NTAR_ID,0))</f>
        <v/>
      </c>
      <c r="AD42" s="743"/>
      <c r="AE42" s="743"/>
      <c r="AF42" s="743"/>
      <c r="AG42" s="743"/>
      <c r="AH42" s="743"/>
      <c r="AI42" s="743"/>
      <c r="AJ42" s="744"/>
      <c r="AK42" s="428"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N42" s="46" t="str">
        <f t="shared" ref="AN42:AN56" si="1">IF(T42="","",T42)</f>
        <v>Наименование тарифа</v>
      </c>
      <c r="AQ42" s="4">
        <v>102</v>
      </c>
    </row>
    <row r="43" spans="1:43" ht="21.95" customHeight="1">
      <c r="A43" s="4" t="s">
        <v>209</v>
      </c>
      <c r="B43" s="4" t="s">
        <v>210</v>
      </c>
      <c r="E43" s="662"/>
      <c r="F43" s="679">
        <v>1</v>
      </c>
      <c r="M43" s="4"/>
      <c r="N43" s="4"/>
      <c r="O43" s="4"/>
      <c r="P43" s="43"/>
      <c r="Q43" s="468"/>
      <c r="R43" s="119"/>
      <c r="S43" s="24" t="str">
        <f>INDEX(PT_DIFFERENTIATION_NUM_TER,MATCH(B43,PT_DIFFERENTIATION_TER_ID,0))</f>
        <v>.</v>
      </c>
      <c r="T43" s="24" t="s">
        <v>400</v>
      </c>
      <c r="U43" s="29"/>
      <c r="V43" s="743"/>
      <c r="W43" s="743"/>
      <c r="X43" s="743"/>
      <c r="Y43" s="743"/>
      <c r="Z43" s="743"/>
      <c r="AA43" s="744"/>
      <c r="AB43" s="608"/>
      <c r="AC43" s="743" t="str">
        <f>INDEX(PT_DIFFERENTIATION_TER,MATCH(B43,PT_DIFFERENTIATION_TER_ID,0))</f>
        <v/>
      </c>
      <c r="AD43" s="743"/>
      <c r="AE43" s="743"/>
      <c r="AF43" s="743"/>
      <c r="AG43" s="743"/>
      <c r="AH43" s="743"/>
      <c r="AI43" s="743"/>
      <c r="AJ43" s="744"/>
      <c r="AK43" s="428" t="s">
        <v>401</v>
      </c>
      <c r="AN43" s="46" t="str">
        <f t="shared" si="1"/>
        <v>Территория действия тарифа</v>
      </c>
      <c r="AQ43" s="4">
        <v>21</v>
      </c>
    </row>
    <row r="44" spans="1:43" ht="24" customHeight="1">
      <c r="A44" s="4" t="s">
        <v>209</v>
      </c>
      <c r="B44" s="4" t="s">
        <v>210</v>
      </c>
      <c r="C44" s="4" t="s">
        <v>211</v>
      </c>
      <c r="E44" s="662"/>
      <c r="F44" s="662"/>
      <c r="G44" s="679">
        <v>1</v>
      </c>
      <c r="M44" s="4"/>
      <c r="N44" s="4"/>
      <c r="O44" s="4"/>
      <c r="P44" s="79"/>
      <c r="Q44" s="468"/>
      <c r="R44" s="119"/>
      <c r="S44" s="24" t="str">
        <f>INDEX(PT_DIFFERENTIATION_NUM_CS,MATCH(C44,PT_DIFFERENTIATION_CS_ID,0))</f>
        <v>..</v>
      </c>
      <c r="T44" s="24" t="s">
        <v>402</v>
      </c>
      <c r="U44" s="29"/>
      <c r="V44" s="743"/>
      <c r="W44" s="743"/>
      <c r="X44" s="743"/>
      <c r="Y44" s="743"/>
      <c r="Z44" s="743"/>
      <c r="AA44" s="744"/>
      <c r="AB44" s="608"/>
      <c r="AC44" s="743" t="str">
        <f>INDEX(PT_DIFFERENTIATION_CS,MATCH(C44,PT_DIFFERENTIATION_CS_ID,0))</f>
        <v/>
      </c>
      <c r="AD44" s="743"/>
      <c r="AE44" s="743"/>
      <c r="AF44" s="743"/>
      <c r="AG44" s="743"/>
      <c r="AH44" s="743"/>
      <c r="AI44" s="743"/>
      <c r="AJ44" s="744"/>
      <c r="AK44" s="428" t="s">
        <v>403</v>
      </c>
      <c r="AN44" s="46" t="str">
        <f t="shared" si="1"/>
        <v xml:space="preserve">Наименование системы теплоснабжения </v>
      </c>
      <c r="AQ44" s="4">
        <v>23</v>
      </c>
    </row>
    <row r="45" spans="1:43" ht="21.95" customHeight="1">
      <c r="A45" s="4" t="s">
        <v>209</v>
      </c>
      <c r="B45" s="4" t="s">
        <v>210</v>
      </c>
      <c r="C45" s="4" t="s">
        <v>211</v>
      </c>
      <c r="D45" s="4" t="s">
        <v>212</v>
      </c>
      <c r="E45" s="662"/>
      <c r="F45" s="662"/>
      <c r="G45" s="662"/>
      <c r="H45" s="679">
        <v>1</v>
      </c>
      <c r="M45" s="4"/>
      <c r="N45" s="4"/>
      <c r="O45" s="4"/>
      <c r="P45" s="79"/>
      <c r="Q45" s="468"/>
      <c r="R45" s="119"/>
      <c r="S45" s="24" t="str">
        <f>INDEX(PT_DIFFERENTIATION_NUM_IST_TE,MATCH(D45,PT_DIFFERENTIATION_IST_TE_ID,0))</f>
        <v>...</v>
      </c>
      <c r="T45" s="24" t="s">
        <v>404</v>
      </c>
      <c r="U45" s="29"/>
      <c r="V45" s="743"/>
      <c r="W45" s="743"/>
      <c r="X45" s="743"/>
      <c r="Y45" s="743"/>
      <c r="Z45" s="743"/>
      <c r="AA45" s="744"/>
      <c r="AB45" s="608"/>
      <c r="AC45" s="743" t="str">
        <f>INDEX(PT_DIFFERENTIATION_IST_TE,MATCH(D45,PT_DIFFERENTIATION_IST_TE_ID,0))</f>
        <v/>
      </c>
      <c r="AD45" s="743"/>
      <c r="AE45" s="743"/>
      <c r="AF45" s="743"/>
      <c r="AG45" s="743"/>
      <c r="AH45" s="743"/>
      <c r="AI45" s="743"/>
      <c r="AJ45" s="744"/>
      <c r="AK45" s="428" t="s">
        <v>405</v>
      </c>
      <c r="AN45" s="46" t="str">
        <f t="shared" si="1"/>
        <v xml:space="preserve">Источник тепловой энергии  </v>
      </c>
      <c r="AQ45" s="4">
        <v>21</v>
      </c>
    </row>
    <row r="46" spans="1:43" s="46" customFormat="1" ht="0" hidden="1" customHeight="1">
      <c r="A46" s="117" t="s">
        <v>209</v>
      </c>
      <c r="B46" s="117" t="s">
        <v>210</v>
      </c>
      <c r="C46" s="117" t="s">
        <v>211</v>
      </c>
      <c r="D46" s="117" t="s">
        <v>212</v>
      </c>
      <c r="E46" s="662"/>
      <c r="F46" s="662"/>
      <c r="G46" s="662"/>
      <c r="H46" s="662"/>
      <c r="I46" s="679" t="str">
        <f>S45&amp;".1"</f>
        <v>....1</v>
      </c>
      <c r="J46" s="117"/>
      <c r="K46" s="117"/>
      <c r="L46" s="117" t="s">
        <v>406</v>
      </c>
      <c r="M46" s="178"/>
      <c r="N46" s="178"/>
      <c r="O46" s="178"/>
      <c r="P46" s="748">
        <v>1</v>
      </c>
      <c r="R46" s="120"/>
      <c r="S46" s="174"/>
      <c r="T46" s="174"/>
      <c r="U46" s="174"/>
      <c r="V46" s="769"/>
      <c r="W46" s="769"/>
      <c r="X46" s="769"/>
      <c r="Y46" s="769"/>
      <c r="Z46" s="769"/>
      <c r="AA46" s="770"/>
      <c r="AB46" s="473"/>
      <c r="AC46" s="769"/>
      <c r="AD46" s="769"/>
      <c r="AE46" s="769"/>
      <c r="AF46" s="769"/>
      <c r="AG46" s="769"/>
      <c r="AH46" s="769"/>
      <c r="AI46" s="769"/>
      <c r="AJ46" s="770"/>
      <c r="AK46" s="174"/>
      <c r="AN46" s="46" t="str">
        <f t="shared" si="1"/>
        <v/>
      </c>
      <c r="AQ46" s="46">
        <v>0</v>
      </c>
    </row>
    <row r="47" spans="1:43" s="46" customFormat="1" ht="0" hidden="1" customHeight="1">
      <c r="A47" s="117" t="s">
        <v>209</v>
      </c>
      <c r="B47" s="117" t="s">
        <v>210</v>
      </c>
      <c r="C47" s="117" t="s">
        <v>211</v>
      </c>
      <c r="D47" s="117" t="s">
        <v>212</v>
      </c>
      <c r="E47" s="662"/>
      <c r="F47" s="662"/>
      <c r="G47" s="662"/>
      <c r="H47" s="662"/>
      <c r="I47" s="662"/>
      <c r="J47" s="679" t="str">
        <f>S45&amp;".1"</f>
        <v>....1</v>
      </c>
      <c r="K47" s="117"/>
      <c r="L47" s="117"/>
      <c r="M47" s="178"/>
      <c r="N47" s="178"/>
      <c r="O47" s="178"/>
      <c r="P47" s="748"/>
      <c r="Q47" s="748">
        <v>1</v>
      </c>
      <c r="R47" s="120"/>
      <c r="S47" s="174"/>
      <c r="T47" s="174"/>
      <c r="U47" s="174"/>
      <c r="V47" s="769"/>
      <c r="W47" s="769"/>
      <c r="X47" s="769"/>
      <c r="Y47" s="769"/>
      <c r="Z47" s="769"/>
      <c r="AA47" s="770"/>
      <c r="AB47" s="473"/>
      <c r="AC47" s="769"/>
      <c r="AD47" s="769"/>
      <c r="AE47" s="769"/>
      <c r="AF47" s="769"/>
      <c r="AG47" s="769"/>
      <c r="AH47" s="769"/>
      <c r="AI47" s="769"/>
      <c r="AJ47" s="770"/>
      <c r="AK47" s="174"/>
      <c r="AN47" s="46" t="str">
        <f t="shared" si="1"/>
        <v/>
      </c>
      <c r="AQ47" s="46">
        <v>0</v>
      </c>
    </row>
    <row r="48" spans="1:43" ht="21.95" customHeight="1">
      <c r="A48" s="4" t="s">
        <v>209</v>
      </c>
      <c r="B48" s="4" t="s">
        <v>210</v>
      </c>
      <c r="C48" s="4" t="s">
        <v>211</v>
      </c>
      <c r="D48" s="4" t="s">
        <v>212</v>
      </c>
      <c r="E48" s="662"/>
      <c r="F48" s="662"/>
      <c r="G48" s="662"/>
      <c r="H48" s="662"/>
      <c r="I48" s="662"/>
      <c r="J48" s="662"/>
      <c r="K48" s="29" t="str">
        <f>S45&amp;".1"</f>
        <v>....1</v>
      </c>
      <c r="P48" s="748"/>
      <c r="Q48" s="748"/>
      <c r="R48" s="120">
        <v>1</v>
      </c>
      <c r="S48" s="45" t="str">
        <f>$K48</f>
        <v>....1</v>
      </c>
      <c r="T48" s="419"/>
      <c r="U48" s="29"/>
      <c r="V48" s="168"/>
      <c r="W48" s="427"/>
      <c r="X48" s="544"/>
      <c r="Y48" s="69" t="s">
        <v>66</v>
      </c>
      <c r="Z48" s="544"/>
      <c r="AA48" s="69" t="s">
        <v>66</v>
      </c>
      <c r="AB48" s="610"/>
      <c r="AC48" s="176" t="s">
        <v>22</v>
      </c>
      <c r="AD48" s="168"/>
      <c r="AE48" s="427"/>
      <c r="AF48" s="544"/>
      <c r="AG48" s="69" t="s">
        <v>66</v>
      </c>
      <c r="AH48" s="544"/>
      <c r="AI48" s="69" t="s">
        <v>66</v>
      </c>
      <c r="AJ48" s="345"/>
      <c r="AK48" s="762" t="s">
        <v>483</v>
      </c>
      <c r="AL48" s="46" t="e">
        <f ca="1">STRCHECKDATE(#REF!)</f>
        <v>#NAME?</v>
      </c>
      <c r="AN48" s="46" t="str">
        <f t="shared" si="1"/>
        <v/>
      </c>
      <c r="AQ48" s="4">
        <v>21</v>
      </c>
    </row>
    <row r="49" spans="1:43" ht="11.45" customHeight="1">
      <c r="A49" s="4" t="s">
        <v>209</v>
      </c>
      <c r="B49" s="4" t="s">
        <v>210</v>
      </c>
      <c r="C49" s="4" t="s">
        <v>211</v>
      </c>
      <c r="D49" s="4" t="s">
        <v>212</v>
      </c>
      <c r="E49" s="662"/>
      <c r="F49" s="662"/>
      <c r="G49" s="662"/>
      <c r="H49" s="662"/>
      <c r="I49" s="662"/>
      <c r="J49" s="679"/>
      <c r="P49" s="748"/>
      <c r="Q49" s="748"/>
      <c r="R49" s="120"/>
      <c r="S49" s="434"/>
      <c r="T49" s="37" t="s">
        <v>471</v>
      </c>
      <c r="U49" s="58"/>
      <c r="V49" s="58"/>
      <c r="W49" s="58"/>
      <c r="X49" s="58"/>
      <c r="Y49" s="58"/>
      <c r="Z49" s="58"/>
      <c r="AA49" s="59"/>
      <c r="AB49" s="58"/>
      <c r="AC49" s="58"/>
      <c r="AD49" s="58"/>
      <c r="AE49" s="58"/>
      <c r="AF49" s="58"/>
      <c r="AG49" s="58"/>
      <c r="AH49" s="58"/>
      <c r="AI49" s="58"/>
      <c r="AJ49" s="59"/>
      <c r="AK49" s="764"/>
      <c r="AN49" s="46" t="str">
        <f t="shared" si="1"/>
        <v>Добавить строку</v>
      </c>
      <c r="AQ49" s="4">
        <v>11</v>
      </c>
    </row>
    <row r="50" spans="1:43" s="46" customFormat="1" ht="1.1499999999999999" customHeight="1">
      <c r="A50" s="117" t="s">
        <v>209</v>
      </c>
      <c r="B50" s="117" t="s">
        <v>210</v>
      </c>
      <c r="C50" s="117" t="s">
        <v>211</v>
      </c>
      <c r="D50" s="117" t="s">
        <v>212</v>
      </c>
      <c r="E50" s="662"/>
      <c r="F50" s="662"/>
      <c r="G50" s="662"/>
      <c r="H50" s="662"/>
      <c r="I50" s="679"/>
      <c r="J50" s="117"/>
      <c r="K50" s="117"/>
      <c r="L50" s="117"/>
      <c r="M50" s="178"/>
      <c r="N50" s="178"/>
      <c r="O50" s="178"/>
      <c r="P50" s="748"/>
      <c r="R50" s="120"/>
      <c r="S50" s="455"/>
      <c r="T50" s="354" t="s">
        <v>415</v>
      </c>
      <c r="U50" s="354"/>
      <c r="V50" s="354"/>
      <c r="W50" s="354"/>
      <c r="X50" s="354"/>
      <c r="Y50" s="354"/>
      <c r="Z50" s="354"/>
      <c r="AA50" s="354"/>
      <c r="AB50" s="354"/>
      <c r="AC50" s="354"/>
      <c r="AD50" s="354"/>
      <c r="AE50" s="354"/>
      <c r="AF50" s="354"/>
      <c r="AG50" s="354"/>
      <c r="AH50" s="354"/>
      <c r="AI50" s="354"/>
      <c r="AJ50" s="354"/>
      <c r="AK50" s="314"/>
      <c r="AN50" s="46" t="str">
        <f t="shared" si="1"/>
        <v>Добавить группу потребителей</v>
      </c>
      <c r="AQ50" s="46">
        <v>1</v>
      </c>
    </row>
    <row r="51" spans="1:43" s="117" customFormat="1" ht="1.1499999999999999" customHeight="1">
      <c r="A51" s="117" t="s">
        <v>209</v>
      </c>
      <c r="B51" s="117" t="s">
        <v>210</v>
      </c>
      <c r="C51" s="117" t="s">
        <v>211</v>
      </c>
      <c r="D51" s="117" t="s">
        <v>212</v>
      </c>
      <c r="E51" s="662"/>
      <c r="F51" s="662"/>
      <c r="G51" s="662"/>
      <c r="H51" s="679"/>
      <c r="P51" s="46"/>
      <c r="Q51" s="446"/>
      <c r="R51" s="462"/>
      <c r="S51" s="455"/>
      <c r="T51" s="354"/>
      <c r="U51" s="354"/>
      <c r="V51" s="354"/>
      <c r="W51" s="354"/>
      <c r="X51" s="354"/>
      <c r="Y51" s="354"/>
      <c r="Z51" s="354"/>
      <c r="AA51" s="354"/>
      <c r="AB51" s="354"/>
      <c r="AC51" s="354"/>
      <c r="AD51" s="354"/>
      <c r="AE51" s="354"/>
      <c r="AF51" s="354"/>
      <c r="AG51" s="354"/>
      <c r="AH51" s="354"/>
      <c r="AI51" s="354"/>
      <c r="AJ51" s="354"/>
      <c r="AK51" s="314"/>
      <c r="AL51" s="46"/>
      <c r="AM51" s="46"/>
      <c r="AN51" s="46" t="str">
        <f t="shared" si="1"/>
        <v/>
      </c>
      <c r="AO51" s="46"/>
      <c r="AP51" s="46"/>
      <c r="AQ51" s="117">
        <v>1</v>
      </c>
    </row>
    <row r="52" spans="1:43" s="46" customFormat="1" ht="1.1499999999999999" customHeight="1">
      <c r="A52" s="117" t="s">
        <v>209</v>
      </c>
      <c r="B52" s="117" t="s">
        <v>210</v>
      </c>
      <c r="C52" s="117" t="s">
        <v>211</v>
      </c>
      <c r="D52" s="117"/>
      <c r="E52" s="662"/>
      <c r="F52" s="662"/>
      <c r="G52" s="679"/>
      <c r="H52" s="117"/>
      <c r="I52" s="117"/>
      <c r="J52" s="117"/>
      <c r="K52" s="117"/>
      <c r="L52" s="117"/>
      <c r="M52" s="117"/>
      <c r="N52" s="117"/>
      <c r="O52" s="117"/>
      <c r="Q52" s="446"/>
      <c r="S52" s="449"/>
      <c r="T52" s="160" t="s">
        <v>417</v>
      </c>
      <c r="U52" s="160"/>
      <c r="V52" s="160"/>
      <c r="W52" s="160"/>
      <c r="X52" s="160"/>
      <c r="Y52" s="160"/>
      <c r="Z52" s="160"/>
      <c r="AA52" s="160"/>
      <c r="AB52" s="160"/>
      <c r="AC52" s="160"/>
      <c r="AD52" s="160"/>
      <c r="AE52" s="160"/>
      <c r="AF52" s="160"/>
      <c r="AG52" s="160"/>
      <c r="AH52" s="160"/>
      <c r="AI52" s="160"/>
      <c r="AJ52" s="160"/>
      <c r="AK52" s="160"/>
      <c r="AN52" s="46" t="str">
        <f t="shared" si="1"/>
        <v>Добавить источник для дифференциации</v>
      </c>
      <c r="AQ52" s="46">
        <v>1</v>
      </c>
    </row>
    <row r="53" spans="1:43" s="46" customFormat="1" ht="1.1499999999999999" customHeight="1">
      <c r="A53" s="117" t="s">
        <v>209</v>
      </c>
      <c r="B53" s="117" t="s">
        <v>210</v>
      </c>
      <c r="C53" s="117"/>
      <c r="D53" s="117"/>
      <c r="E53" s="662"/>
      <c r="F53" s="679"/>
      <c r="G53" s="117"/>
      <c r="H53" s="117"/>
      <c r="I53" s="117"/>
      <c r="J53" s="117"/>
      <c r="K53" s="117"/>
      <c r="L53" s="117"/>
      <c r="M53" s="178"/>
      <c r="N53" s="178"/>
      <c r="O53" s="117"/>
      <c r="Q53" s="446"/>
      <c r="S53" s="449"/>
      <c r="T53" s="160" t="s">
        <v>418</v>
      </c>
      <c r="U53" s="160"/>
      <c r="V53" s="160"/>
      <c r="W53" s="160"/>
      <c r="X53" s="160"/>
      <c r="Y53" s="160"/>
      <c r="Z53" s="160"/>
      <c r="AA53" s="160"/>
      <c r="AB53" s="160"/>
      <c r="AC53" s="160"/>
      <c r="AD53" s="160"/>
      <c r="AE53" s="160"/>
      <c r="AF53" s="160"/>
      <c r="AG53" s="160"/>
      <c r="AH53" s="160"/>
      <c r="AI53" s="160"/>
      <c r="AJ53" s="160"/>
      <c r="AK53" s="160"/>
      <c r="AN53" s="46" t="str">
        <f t="shared" si="1"/>
        <v>Добавить централизованную систему для дифференциации</v>
      </c>
      <c r="AQ53" s="46">
        <v>1</v>
      </c>
    </row>
    <row r="54" spans="1:43" s="46" customFormat="1" ht="1.1499999999999999" customHeight="1">
      <c r="A54" s="117" t="s">
        <v>209</v>
      </c>
      <c r="B54" s="117"/>
      <c r="C54" s="117"/>
      <c r="D54" s="117"/>
      <c r="E54" s="662"/>
      <c r="F54" s="117"/>
      <c r="G54" s="117"/>
      <c r="H54" s="117"/>
      <c r="I54" s="117"/>
      <c r="J54" s="117"/>
      <c r="K54" s="117"/>
      <c r="L54" s="117"/>
      <c r="M54" s="178"/>
      <c r="N54" s="178"/>
      <c r="O54" s="117"/>
      <c r="Q54" s="446"/>
      <c r="S54" s="449"/>
      <c r="T54" s="160" t="s">
        <v>419</v>
      </c>
      <c r="U54" s="160"/>
      <c r="V54" s="160"/>
      <c r="W54" s="160"/>
      <c r="X54" s="160"/>
      <c r="Y54" s="160"/>
      <c r="Z54" s="160"/>
      <c r="AA54" s="160"/>
      <c r="AB54" s="160"/>
      <c r="AC54" s="160"/>
      <c r="AD54" s="160"/>
      <c r="AE54" s="160"/>
      <c r="AF54" s="160"/>
      <c r="AG54" s="160"/>
      <c r="AH54" s="160"/>
      <c r="AI54" s="160"/>
      <c r="AJ54" s="160"/>
      <c r="AK54" s="160"/>
      <c r="AN54" s="46" t="str">
        <f t="shared" si="1"/>
        <v>Добавить территорию для дифференциации</v>
      </c>
      <c r="AQ54" s="46">
        <v>1</v>
      </c>
    </row>
    <row r="55" spans="1:43" s="46" customFormat="1" ht="1.1499999999999999" customHeight="1">
      <c r="A55" s="117" t="s">
        <v>209</v>
      </c>
      <c r="B55" s="117"/>
      <c r="C55" s="117"/>
      <c r="D55" s="117"/>
      <c r="E55" s="679"/>
      <c r="F55" s="117"/>
      <c r="G55" s="117"/>
      <c r="H55" s="117"/>
      <c r="I55" s="117"/>
      <c r="J55" s="117"/>
      <c r="K55" s="117"/>
      <c r="L55" s="117"/>
      <c r="M55" s="178"/>
      <c r="N55" s="178"/>
      <c r="O55" s="117"/>
      <c r="Q55" s="446"/>
      <c r="S55" s="449"/>
      <c r="T55" s="160" t="s">
        <v>419</v>
      </c>
      <c r="U55" s="160"/>
      <c r="V55" s="160"/>
      <c r="W55" s="160"/>
      <c r="X55" s="160"/>
      <c r="Y55" s="160"/>
      <c r="Z55" s="160"/>
      <c r="AA55" s="160"/>
      <c r="AB55" s="160"/>
      <c r="AC55" s="160"/>
      <c r="AD55" s="160"/>
      <c r="AE55" s="160"/>
      <c r="AF55" s="160"/>
      <c r="AG55" s="160"/>
      <c r="AH55" s="160"/>
      <c r="AI55" s="160"/>
      <c r="AJ55" s="160"/>
      <c r="AK55" s="160"/>
      <c r="AN55" s="46" t="str">
        <f t="shared" si="1"/>
        <v>Добавить территорию для дифференциации</v>
      </c>
      <c r="AQ55" s="46">
        <v>1</v>
      </c>
    </row>
    <row r="56" spans="1:43" s="46" customFormat="1" ht="1.1499999999999999" customHeight="1">
      <c r="A56" s="117"/>
      <c r="B56" s="117"/>
      <c r="C56" s="117"/>
      <c r="D56" s="117"/>
      <c r="E56" s="117"/>
      <c r="F56" s="117"/>
      <c r="G56" s="117"/>
      <c r="H56" s="117"/>
      <c r="I56" s="117"/>
      <c r="J56" s="117"/>
      <c r="K56" s="117"/>
      <c r="L56" s="117"/>
      <c r="M56" s="178"/>
      <c r="N56" s="178"/>
      <c r="O56" s="117"/>
      <c r="Q56" s="446"/>
      <c r="S56" s="449"/>
      <c r="T56" s="160" t="s">
        <v>451</v>
      </c>
      <c r="U56" s="160"/>
      <c r="V56" s="160"/>
      <c r="W56" s="160"/>
      <c r="X56" s="160"/>
      <c r="Y56" s="160"/>
      <c r="Z56" s="160"/>
      <c r="AA56" s="160"/>
      <c r="AB56" s="160"/>
      <c r="AC56" s="160"/>
      <c r="AD56" s="160"/>
      <c r="AE56" s="160"/>
      <c r="AF56" s="160"/>
      <c r="AG56" s="160"/>
      <c r="AH56" s="160"/>
      <c r="AI56" s="160"/>
      <c r="AJ56" s="160"/>
      <c r="AK56" s="160"/>
      <c r="AN56" s="46" t="str">
        <f t="shared" si="1"/>
        <v>Добавить наименование тарифа</v>
      </c>
      <c r="AQ56" s="46">
        <v>1</v>
      </c>
    </row>
    <row r="57" spans="1:43" ht="11.45" customHeight="1">
      <c r="M57" s="4"/>
      <c r="N57" s="4"/>
      <c r="O57" s="4"/>
      <c r="P57" s="43"/>
      <c r="Q57" s="43"/>
      <c r="R57" s="4"/>
      <c r="AL57" s="4"/>
      <c r="AM57" s="4"/>
      <c r="AN57" s="4"/>
      <c r="AO57" s="4"/>
      <c r="AP57" s="4"/>
      <c r="AQ57" s="4">
        <v>11</v>
      </c>
    </row>
    <row r="58" spans="1:43" ht="19.899999999999999" customHeight="1">
      <c r="O58" s="4"/>
      <c r="T58" s="665"/>
      <c r="U58" s="665"/>
      <c r="V58" s="665"/>
      <c r="W58" s="665"/>
      <c r="X58" s="665"/>
      <c r="Y58" s="665"/>
      <c r="Z58" s="665"/>
      <c r="AA58" s="665"/>
      <c r="AB58" s="665"/>
      <c r="AC58" s="665"/>
      <c r="AD58" s="665"/>
      <c r="AE58" s="665"/>
      <c r="AF58" s="665"/>
      <c r="AG58" s="665"/>
      <c r="AH58" s="665"/>
      <c r="AI58" s="665"/>
      <c r="AJ58" s="665"/>
      <c r="AK58" s="665"/>
      <c r="AQ58" s="4">
        <v>19</v>
      </c>
    </row>
    <row r="59" spans="1:43" ht="21" customHeight="1">
      <c r="O59" s="4"/>
      <c r="T59" s="665"/>
      <c r="U59" s="665"/>
      <c r="V59" s="665"/>
      <c r="W59" s="665"/>
      <c r="X59" s="665"/>
      <c r="Y59" s="665"/>
      <c r="Z59" s="665"/>
      <c r="AA59" s="665"/>
      <c r="AB59" s="665"/>
      <c r="AC59" s="665"/>
      <c r="AD59" s="665"/>
      <c r="AE59" s="665"/>
      <c r="AF59" s="665"/>
      <c r="AG59" s="665"/>
      <c r="AH59" s="665"/>
      <c r="AI59" s="665"/>
      <c r="AJ59" s="665"/>
      <c r="AK59" s="665"/>
      <c r="AQ59" s="4">
        <v>20</v>
      </c>
    </row>
    <row r="60" spans="1:43" ht="14.65" customHeight="1">
      <c r="O60" s="4"/>
      <c r="AQ60" s="4">
        <v>14</v>
      </c>
    </row>
    <row r="61" spans="1:43" ht="19.899999999999999" customHeight="1">
      <c r="O61" s="4"/>
      <c r="T61" s="665"/>
      <c r="U61" s="665"/>
      <c r="V61" s="665"/>
      <c r="W61" s="665"/>
      <c r="X61" s="665"/>
      <c r="Y61" s="665"/>
      <c r="Z61" s="665"/>
      <c r="AA61" s="665"/>
      <c r="AB61" s="665"/>
      <c r="AC61" s="665"/>
      <c r="AD61" s="665"/>
      <c r="AE61" s="665"/>
      <c r="AF61" s="665"/>
      <c r="AG61" s="665"/>
      <c r="AH61" s="665"/>
      <c r="AI61" s="665"/>
      <c r="AJ61" s="665"/>
      <c r="AK61" s="665"/>
      <c r="AQ61" s="4">
        <v>19</v>
      </c>
    </row>
    <row r="62" spans="1:43" ht="16.899999999999999" customHeight="1">
      <c r="O62" s="4"/>
      <c r="T62" s="665"/>
      <c r="U62" s="665"/>
      <c r="V62" s="665"/>
      <c r="W62" s="665"/>
      <c r="X62" s="665"/>
      <c r="Y62" s="665"/>
      <c r="Z62" s="665"/>
      <c r="AA62" s="665"/>
      <c r="AB62" s="665"/>
      <c r="AC62" s="665"/>
      <c r="AD62" s="665"/>
      <c r="AE62" s="665"/>
      <c r="AF62" s="665"/>
      <c r="AG62" s="665"/>
      <c r="AH62" s="665"/>
      <c r="AI62" s="665"/>
      <c r="AJ62" s="665"/>
      <c r="AK62" s="665"/>
      <c r="AQ62" s="4">
        <v>16</v>
      </c>
    </row>
    <row r="63" spans="1:43" ht="14.65" customHeight="1">
      <c r="O63" s="4"/>
      <c r="AQ63" s="4">
        <v>14</v>
      </c>
    </row>
    <row r="64" spans="1:43" ht="22.5" hidden="1" customHeight="1">
      <c r="A64" s="4" t="s">
        <v>82</v>
      </c>
      <c r="B64" s="4">
        <v>0</v>
      </c>
      <c r="C64" s="4">
        <v>0</v>
      </c>
      <c r="D64" s="4">
        <v>0</v>
      </c>
      <c r="E64" s="4">
        <v>0</v>
      </c>
      <c r="F64" s="4">
        <v>0</v>
      </c>
      <c r="G64" s="4">
        <v>0</v>
      </c>
      <c r="H64" s="4">
        <v>0</v>
      </c>
      <c r="I64" s="4">
        <v>0</v>
      </c>
      <c r="J64" s="4">
        <v>0</v>
      </c>
      <c r="K64" s="4">
        <v>0</v>
      </c>
      <c r="L64" s="4">
        <v>0</v>
      </c>
      <c r="M64" s="23">
        <v>0</v>
      </c>
      <c r="N64" s="23">
        <v>0</v>
      </c>
      <c r="O64" s="23">
        <v>0</v>
      </c>
      <c r="P64" s="167">
        <v>3</v>
      </c>
      <c r="Q64" s="452">
        <v>3</v>
      </c>
      <c r="R64" s="20">
        <v>3</v>
      </c>
      <c r="S64" s="4">
        <v>12</v>
      </c>
      <c r="T64" s="4">
        <v>31</v>
      </c>
      <c r="U64" s="4">
        <v>0</v>
      </c>
      <c r="V64" s="4">
        <v>0</v>
      </c>
      <c r="W64" s="4">
        <v>0</v>
      </c>
      <c r="X64" s="4">
        <v>0</v>
      </c>
      <c r="Y64" s="4">
        <v>0</v>
      </c>
      <c r="Z64" s="4">
        <v>0</v>
      </c>
      <c r="AA64" s="4">
        <v>0</v>
      </c>
      <c r="AB64" s="4">
        <v>27</v>
      </c>
      <c r="AC64" s="4">
        <v>24</v>
      </c>
      <c r="AD64" s="4">
        <v>21</v>
      </c>
      <c r="AE64" s="4">
        <v>21</v>
      </c>
      <c r="AF64" s="4">
        <v>11</v>
      </c>
      <c r="AG64" s="4">
        <v>3</v>
      </c>
      <c r="AH64" s="4">
        <v>11</v>
      </c>
      <c r="AI64" s="4">
        <v>8</v>
      </c>
      <c r="AJ64" s="4">
        <v>4</v>
      </c>
      <c r="AK64" s="4">
        <v>115</v>
      </c>
      <c r="AL64" s="46">
        <v>10</v>
      </c>
      <c r="AM64" s="46">
        <v>10</v>
      </c>
      <c r="AN64" s="46">
        <v>10</v>
      </c>
      <c r="AO64" s="46">
        <v>10</v>
      </c>
      <c r="AP64" s="46">
        <v>10</v>
      </c>
      <c r="AQ64" s="4">
        <v>23</v>
      </c>
    </row>
  </sheetData>
  <sheetProtection insertRows="0" deleteColumns="0" deleteRows="0" sort="0" autoFilter="0"/>
  <mergeCells count="89">
    <mergeCell ref="T62:AK62"/>
    <mergeCell ref="V47:AA47"/>
    <mergeCell ref="AC47:AJ47"/>
    <mergeCell ref="AK48:AK49"/>
    <mergeCell ref="T58:AK58"/>
    <mergeCell ref="T59:AK59"/>
    <mergeCell ref="T61:AK61"/>
    <mergeCell ref="P46:P50"/>
    <mergeCell ref="V46:AA46"/>
    <mergeCell ref="AC46:AJ46"/>
    <mergeCell ref="J47:J49"/>
    <mergeCell ref="Q47:Q49"/>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S33:T33"/>
    <mergeCell ref="V33:Z33"/>
    <mergeCell ref="AC33:AH33"/>
    <mergeCell ref="V35:AA35"/>
    <mergeCell ref="AC35:AI35"/>
    <mergeCell ref="S30:T30"/>
    <mergeCell ref="V30:Z30"/>
    <mergeCell ref="AC30:AH30"/>
    <mergeCell ref="S32:T32"/>
    <mergeCell ref="V32:Z32"/>
    <mergeCell ref="AC32:AH32"/>
    <mergeCell ref="S28:T28"/>
    <mergeCell ref="V28:Z28"/>
    <mergeCell ref="AC28:AH28"/>
    <mergeCell ref="S29:T29"/>
    <mergeCell ref="V29:Z29"/>
    <mergeCell ref="AC29:AH29"/>
    <mergeCell ref="AK8:AK9"/>
    <mergeCell ref="S24:AH24"/>
    <mergeCell ref="S27:T27"/>
    <mergeCell ref="V27:Z27"/>
    <mergeCell ref="AC27:AH27"/>
    <mergeCell ref="S25:AH25"/>
    <mergeCell ref="V6:AA6"/>
    <mergeCell ref="AC6:AJ6"/>
    <mergeCell ref="J7:J9"/>
    <mergeCell ref="Q7:Q9"/>
    <mergeCell ref="V7:AA7"/>
    <mergeCell ref="AC7:AJ7"/>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s>
  <dataValidations count="11">
    <dataValidation type="decimal" allowBlank="1" showErrorMessage="1" errorTitle="Ошибка" error="Допускается ввод только действительных чисел!" sqref="AC48 AC8" xr:uid="{00000000-0002-0000-1800-000000000000}">
      <formula1>-9.99999999999999E+23</formula1>
      <formula2>9.99999999999999E+23</formula2>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xr:uid="{00000000-0002-0000-1800-000001000000}"/>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xr:uid="{00000000-0002-0000-1800-000002000000}">
      <formula1>kind_of_cons</formula1>
    </dataValidation>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xr:uid="{00000000-0002-0000-1800-000003000000}">
      <formula1>kind_of_scheme_in</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xr:uid="{00000000-0002-0000-1800-000004000000}"/>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xr:uid="{00000000-0002-0000-1800-000005000000}">
      <formula1>900</formula1>
    </dataValidation>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xr:uid="{00000000-0002-0000-1800-00000600000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xr:uid="{00000000-0002-0000-1800-000007000000}"/>
    <dataValidation type="list" allowBlank="1" showInputMessage="1" showErrorMessage="1" errorTitle="Ошибка" error="Выберите значение из списка" sqref="T65584 T131120 T196656 T262192 T327728 T393264 T458800 T524336 T589872 T655408 T720944 T786480 T852016 T917552 T983088" xr:uid="{00000000-0002-0000-1800-000008000000}">
      <formula1>kind_of_heat_transfer</formula1>
    </dataValidation>
    <dataValidation type="list" allowBlank="1" showInputMessage="1" showErrorMessage="1" errorTitle="Ошибка" error="Выберите значение из списка" prompt="Выберите значение из списка" sqref="AD39:AE39" xr:uid="{00000000-0002-0000-1800-000009000000}">
      <formula1>UNIT_CONNECT_LIST</formula1>
    </dataValidation>
    <dataValidation allowBlank="1" errorTitle="Ошибка" error="Выберите значение из списка" sqref="V39:W39" xr:uid="{00000000-0002-0000-1800-00000A00000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E1D292-AF3F-D0C6-C2B6-D87A92364F82}">
  <sheetPr>
    <tabColor theme="6" tint="0.39997558519241921"/>
  </sheetPr>
  <dimension ref="A1:BI69"/>
  <sheetViews>
    <sheetView showGridLines="0" zoomScale="90" workbookViewId="0">
      <pane xSplit="29" ySplit="45" topLeftCell="AD46" activePane="bottomRight" state="frozen"/>
      <selection pane="topRight" activeCell="AD1" sqref="AD1"/>
      <selection pane="bottomLeft" activeCell="A46" sqref="A46"/>
      <selection pane="bottomRight"/>
    </sheetView>
  </sheetViews>
  <sheetFormatPr defaultColWidth="10.5703125" defaultRowHeight="14.25" customHeight="1"/>
  <cols>
    <col min="1" max="1" width="11.5703125" style="43" hidden="1" customWidth="1"/>
    <col min="2" max="2" width="11" style="43" hidden="1" customWidth="1"/>
    <col min="3" max="3" width="10.5703125" style="43" hidden="1"/>
    <col min="4" max="4" width="12.85546875" style="43" hidden="1" customWidth="1"/>
    <col min="5" max="5" width="10" style="43" hidden="1" customWidth="1"/>
    <col min="6" max="6" width="8.7109375" style="43" hidden="1" customWidth="1"/>
    <col min="7" max="7" width="7.5703125" style="43" hidden="1" customWidth="1"/>
    <col min="8" max="8" width="11.42578125" style="43" hidden="1" customWidth="1"/>
    <col min="9" max="9" width="12" style="43" hidden="1" customWidth="1"/>
    <col min="10" max="10" width="9.85546875" style="43" hidden="1" customWidth="1"/>
    <col min="11" max="11" width="11.42578125" style="43" hidden="1" customWidth="1"/>
    <col min="12" max="12" width="19.140625" style="43" hidden="1" customWidth="1"/>
    <col min="13" max="14" width="12.28515625" style="167" hidden="1" customWidth="1"/>
    <col min="15" max="15" width="23.42578125" style="167" hidden="1" customWidth="1"/>
    <col min="16" max="16" width="3.7109375" style="167" hidden="1" customWidth="1"/>
    <col min="17" max="17" width="3.7109375" style="452" hidden="1" customWidth="1"/>
    <col min="18" max="18" width="3" style="20" customWidth="1"/>
    <col min="19" max="19" width="12" style="4" customWidth="1"/>
    <col min="20" max="20" width="31" style="4" customWidth="1"/>
    <col min="21" max="21" width="0.140625" style="4" customWidth="1"/>
    <col min="22" max="25" width="21.7109375" style="4" hidden="1" customWidth="1"/>
    <col min="26" max="26" width="11.7109375" style="4" hidden="1" customWidth="1"/>
    <col min="27" max="27" width="3.7109375" style="4" hidden="1" customWidth="1"/>
    <col min="28" max="28" width="11.7109375" style="4" hidden="1" customWidth="1"/>
    <col min="29" max="29" width="8.5703125" style="4" hidden="1" customWidth="1"/>
    <col min="30" max="30" width="3.7109375" style="4" customWidth="1"/>
    <col min="31" max="32" width="3" style="4" customWidth="1"/>
    <col min="33" max="33" width="24" style="4" customWidth="1"/>
    <col min="34" max="34" width="3.7109375" style="4" customWidth="1"/>
    <col min="35" max="36" width="3" style="4" customWidth="1"/>
    <col min="37" max="37" width="24" style="4" customWidth="1"/>
    <col min="38" max="38" width="3.7109375" style="4" customWidth="1"/>
    <col min="39" max="40" width="3" style="4" customWidth="1"/>
    <col min="41" max="41" width="18" style="4" customWidth="1"/>
    <col min="42" max="42" width="3.7109375" style="4" customWidth="1"/>
    <col min="43" max="44" width="3" style="4" customWidth="1"/>
    <col min="45" max="45" width="18" style="4" customWidth="1"/>
    <col min="46" max="49" width="21" style="4" customWidth="1"/>
    <col min="50" max="50" width="11" style="4" customWidth="1"/>
    <col min="51" max="51" width="3.7109375" style="4" customWidth="1"/>
    <col min="52" max="52" width="11" style="4" customWidth="1"/>
    <col min="53" max="53" width="8.5703125" style="4" hidden="1" customWidth="1"/>
    <col min="54" max="54" width="4" style="4" customWidth="1"/>
    <col min="55" max="55" width="115" style="4" customWidth="1"/>
    <col min="56" max="60" width="10" style="46" customWidth="1"/>
    <col min="61" max="61" width="10.5703125" style="4" hidden="1"/>
  </cols>
  <sheetData>
    <row r="1" spans="5:61" ht="22.5" hidden="1" customHeight="1">
      <c r="BI1" s="4" t="s">
        <v>14</v>
      </c>
    </row>
    <row r="2" spans="5:61" ht="21" hidden="1" customHeight="1">
      <c r="E2" s="745">
        <v>1</v>
      </c>
      <c r="M2" s="43"/>
      <c r="N2" s="43"/>
      <c r="O2" s="43"/>
      <c r="Q2" s="43"/>
      <c r="R2" s="119"/>
      <c r="S2" s="24" t="e">
        <f>INDEX(PT_DIFFERENTIATION_NUM_NTAR,MATCH(A2,PT_DIFFERENTIATION_NTAR_ID,0))</f>
        <v>#N/A</v>
      </c>
      <c r="T2" s="29" t="s">
        <v>128</v>
      </c>
      <c r="U2" s="29"/>
      <c r="V2" s="743"/>
      <c r="W2" s="743"/>
      <c r="X2" s="743"/>
      <c r="Y2" s="743"/>
      <c r="Z2" s="743"/>
      <c r="AA2" s="743"/>
      <c r="AB2" s="743"/>
      <c r="AC2" s="744"/>
      <c r="AD2" s="742" t="e">
        <f>INDEX(PT_DIFFERENTIATION_NTAR,MATCH(A2,PT_DIFFERENTIATION_NTAR_ID,0))</f>
        <v>#N/A</v>
      </c>
      <c r="AE2" s="743"/>
      <c r="AF2" s="743"/>
      <c r="AG2" s="743"/>
      <c r="AH2" s="743"/>
      <c r="AI2" s="743"/>
      <c r="AJ2" s="743"/>
      <c r="AK2" s="743"/>
      <c r="AL2" s="743"/>
      <c r="AM2" s="743"/>
      <c r="AN2" s="743"/>
      <c r="AO2" s="743"/>
      <c r="AP2" s="743"/>
      <c r="AQ2" s="743"/>
      <c r="AR2" s="743"/>
      <c r="AS2" s="743"/>
      <c r="AT2" s="743"/>
      <c r="AU2" s="743"/>
      <c r="AV2" s="743"/>
      <c r="AW2" s="743"/>
      <c r="AX2" s="743"/>
      <c r="AY2" s="743"/>
      <c r="AZ2" s="743"/>
      <c r="BA2" s="743"/>
      <c r="BB2" s="744"/>
      <c r="BC2" s="4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F2" s="46" t="str">
        <f t="shared" ref="BF2:BF8" si="0">IF(T2="","",T2)</f>
        <v>Наименование тарифа</v>
      </c>
      <c r="BI2" s="4">
        <v>0</v>
      </c>
    </row>
    <row r="3" spans="5:61" ht="21" hidden="1" customHeight="1">
      <c r="E3" s="747"/>
      <c r="F3" s="745">
        <v>1</v>
      </c>
      <c r="M3" s="43"/>
      <c r="N3" s="43"/>
      <c r="O3" s="43"/>
      <c r="P3" s="43"/>
      <c r="Q3" s="468"/>
      <c r="R3" s="119"/>
      <c r="S3" s="24" t="e">
        <f>INDEX(PT_DIFFERENTIATION_NUM_TER,MATCH(B3,PT_DIFFERENTIATION_TER_ID,0))</f>
        <v>#N/A</v>
      </c>
      <c r="T3" s="24" t="s">
        <v>400</v>
      </c>
      <c r="U3" s="29"/>
      <c r="V3" s="743"/>
      <c r="W3" s="743"/>
      <c r="X3" s="743"/>
      <c r="Y3" s="743"/>
      <c r="Z3" s="743"/>
      <c r="AA3" s="743"/>
      <c r="AB3" s="743"/>
      <c r="AC3" s="744"/>
      <c r="AD3" s="742" t="e">
        <f>INDEX(PT_DIFFERENTIATION_TER,MATCH(B3,PT_DIFFERENTIATION_TER_ID,0))</f>
        <v>#N/A</v>
      </c>
      <c r="AE3" s="743"/>
      <c r="AF3" s="743"/>
      <c r="AG3" s="743"/>
      <c r="AH3" s="743"/>
      <c r="AI3" s="743"/>
      <c r="AJ3" s="743"/>
      <c r="AK3" s="743"/>
      <c r="AL3" s="743"/>
      <c r="AM3" s="743"/>
      <c r="AN3" s="743"/>
      <c r="AO3" s="743"/>
      <c r="AP3" s="743"/>
      <c r="AQ3" s="743"/>
      <c r="AR3" s="743"/>
      <c r="AS3" s="743"/>
      <c r="AT3" s="743"/>
      <c r="AU3" s="743"/>
      <c r="AV3" s="743"/>
      <c r="AW3" s="743"/>
      <c r="AX3" s="743"/>
      <c r="AY3" s="743"/>
      <c r="AZ3" s="743"/>
      <c r="BA3" s="743"/>
      <c r="BB3" s="744"/>
      <c r="BC3" s="428" t="s">
        <v>401</v>
      </c>
      <c r="BF3" s="46" t="str">
        <f t="shared" si="0"/>
        <v>Территория действия тарифа</v>
      </c>
      <c r="BI3" s="4">
        <v>0</v>
      </c>
    </row>
    <row r="4" spans="5:61" ht="42" hidden="1" customHeight="1">
      <c r="E4" s="747"/>
      <c r="F4" s="747"/>
      <c r="G4" s="745">
        <v>1</v>
      </c>
      <c r="M4" s="43"/>
      <c r="N4" s="43"/>
      <c r="O4" s="43"/>
      <c r="P4" s="79"/>
      <c r="Q4" s="468"/>
      <c r="R4" s="119"/>
      <c r="S4" s="24" t="e">
        <f>INDEX(PT_DIFFERENTIATION_NUM_CS,MATCH(C4,PT_DIFFERENTIATION_CS_ID,0))</f>
        <v>#N/A</v>
      </c>
      <c r="T4" s="24" t="s">
        <v>484</v>
      </c>
      <c r="U4" s="29"/>
      <c r="V4" s="743"/>
      <c r="W4" s="743"/>
      <c r="X4" s="743"/>
      <c r="Y4" s="743"/>
      <c r="Z4" s="743"/>
      <c r="AA4" s="743"/>
      <c r="AB4" s="743"/>
      <c r="AC4" s="744"/>
      <c r="AD4" s="742" t="e">
        <f>INDEX(PT_DIFFERENTIATION_CS,MATCH(C4,PT_DIFFERENTIATION_CS_ID,0))</f>
        <v>#N/A</v>
      </c>
      <c r="AE4" s="743"/>
      <c r="AF4" s="743"/>
      <c r="AG4" s="743"/>
      <c r="AH4" s="743"/>
      <c r="AI4" s="743"/>
      <c r="AJ4" s="743"/>
      <c r="AK4" s="743"/>
      <c r="AL4" s="743"/>
      <c r="AM4" s="743"/>
      <c r="AN4" s="743"/>
      <c r="AO4" s="743"/>
      <c r="AP4" s="743"/>
      <c r="AQ4" s="743"/>
      <c r="AR4" s="743"/>
      <c r="AS4" s="743"/>
      <c r="AT4" s="743"/>
      <c r="AU4" s="743"/>
      <c r="AV4" s="743"/>
      <c r="AW4" s="743"/>
      <c r="AX4" s="743"/>
      <c r="AY4" s="743"/>
      <c r="AZ4" s="743"/>
      <c r="BA4" s="743"/>
      <c r="BB4" s="744"/>
      <c r="BC4" s="428" t="s">
        <v>485</v>
      </c>
      <c r="BF4" s="46" t="str">
        <f t="shared" si="0"/>
        <v>Наименование централизованной системы холодного водоснабжения</v>
      </c>
      <c r="BI4" s="4">
        <v>0</v>
      </c>
    </row>
    <row r="5" spans="5:61" s="46" customFormat="1" ht="14.25" hidden="1" customHeight="1">
      <c r="E5" s="747"/>
      <c r="F5" s="747"/>
      <c r="G5" s="747"/>
      <c r="H5" s="745">
        <v>1</v>
      </c>
      <c r="P5" s="478"/>
      <c r="Q5" s="479"/>
      <c r="R5" s="120"/>
      <c r="S5" s="174"/>
      <c r="T5" s="294"/>
      <c r="U5" s="174"/>
      <c r="V5" s="769"/>
      <c r="W5" s="769"/>
      <c r="X5" s="769"/>
      <c r="Y5" s="769"/>
      <c r="Z5" s="769"/>
      <c r="AA5" s="769"/>
      <c r="AB5" s="769"/>
      <c r="AC5" s="770"/>
      <c r="AD5" s="768"/>
      <c r="AE5" s="769"/>
      <c r="AF5" s="769"/>
      <c r="AG5" s="769"/>
      <c r="AH5" s="769"/>
      <c r="AI5" s="769"/>
      <c r="AJ5" s="769"/>
      <c r="AK5" s="769"/>
      <c r="AL5" s="769"/>
      <c r="AM5" s="769"/>
      <c r="AN5" s="769"/>
      <c r="AO5" s="769"/>
      <c r="AP5" s="769"/>
      <c r="AQ5" s="769"/>
      <c r="AR5" s="769"/>
      <c r="AS5" s="769"/>
      <c r="AT5" s="769"/>
      <c r="AU5" s="769"/>
      <c r="AV5" s="769"/>
      <c r="AW5" s="769"/>
      <c r="AX5" s="769"/>
      <c r="AY5" s="769"/>
      <c r="AZ5" s="769"/>
      <c r="BA5" s="769"/>
      <c r="BB5" s="770"/>
      <c r="BC5" s="174" t="s">
        <v>405</v>
      </c>
      <c r="BF5" s="46" t="str">
        <f t="shared" si="0"/>
        <v/>
      </c>
      <c r="BI5" s="46">
        <v>0</v>
      </c>
    </row>
    <row r="6" spans="5:61" s="46" customFormat="1" ht="14.25" hidden="1" customHeight="1">
      <c r="E6" s="747"/>
      <c r="F6" s="747"/>
      <c r="G6" s="747"/>
      <c r="H6" s="747"/>
      <c r="I6" s="745" t="str">
        <f>S5&amp;".1"</f>
        <v>.1</v>
      </c>
      <c r="L6" s="46" t="s">
        <v>406</v>
      </c>
      <c r="M6" s="160"/>
      <c r="N6" s="160"/>
      <c r="O6" s="160"/>
      <c r="P6" s="748">
        <v>1</v>
      </c>
      <c r="R6" s="120"/>
      <c r="S6" s="174"/>
      <c r="T6" s="174"/>
      <c r="U6" s="174"/>
      <c r="V6" s="769"/>
      <c r="W6" s="769"/>
      <c r="X6" s="769"/>
      <c r="Y6" s="769"/>
      <c r="Z6" s="769"/>
      <c r="AA6" s="769"/>
      <c r="AB6" s="769"/>
      <c r="AC6" s="770"/>
      <c r="AD6" s="768"/>
      <c r="AE6" s="769"/>
      <c r="AF6" s="769"/>
      <c r="AG6" s="769"/>
      <c r="AH6" s="769"/>
      <c r="AI6" s="769"/>
      <c r="AJ6" s="769"/>
      <c r="AK6" s="769"/>
      <c r="AL6" s="769"/>
      <c r="AM6" s="769"/>
      <c r="AN6" s="769"/>
      <c r="AO6" s="769"/>
      <c r="AP6" s="769"/>
      <c r="AQ6" s="769"/>
      <c r="AR6" s="769"/>
      <c r="AS6" s="769"/>
      <c r="AT6" s="769"/>
      <c r="AU6" s="769"/>
      <c r="AV6" s="769"/>
      <c r="AW6" s="769"/>
      <c r="AX6" s="769"/>
      <c r="AY6" s="769"/>
      <c r="AZ6" s="769"/>
      <c r="BA6" s="769"/>
      <c r="BB6" s="770"/>
      <c r="BC6" s="174"/>
      <c r="BF6" s="46" t="str">
        <f t="shared" si="0"/>
        <v/>
      </c>
      <c r="BI6" s="46">
        <v>0</v>
      </c>
    </row>
    <row r="7" spans="5:61" s="46" customFormat="1" ht="14.25" hidden="1" customHeight="1">
      <c r="E7" s="747"/>
      <c r="F7" s="747"/>
      <c r="G7" s="747"/>
      <c r="H7" s="747"/>
      <c r="I7" s="747"/>
      <c r="J7" s="745" t="str">
        <f>S5&amp;".1"</f>
        <v>.1</v>
      </c>
      <c r="M7" s="160"/>
      <c r="N7" s="160"/>
      <c r="O7" s="160"/>
      <c r="P7" s="748"/>
      <c r="Q7" s="748">
        <v>1</v>
      </c>
      <c r="R7" s="120"/>
      <c r="S7" s="174"/>
      <c r="T7" s="174"/>
      <c r="U7" s="174"/>
      <c r="V7" s="769"/>
      <c r="W7" s="769"/>
      <c r="X7" s="769"/>
      <c r="Y7" s="769"/>
      <c r="Z7" s="769"/>
      <c r="AA7" s="769"/>
      <c r="AB7" s="769"/>
      <c r="AC7" s="770"/>
      <c r="AD7" s="768"/>
      <c r="AE7" s="769"/>
      <c r="AF7" s="769"/>
      <c r="AG7" s="769"/>
      <c r="AH7" s="769"/>
      <c r="AI7" s="769"/>
      <c r="AJ7" s="769"/>
      <c r="AK7" s="769"/>
      <c r="AL7" s="769"/>
      <c r="AM7" s="769"/>
      <c r="AN7" s="769"/>
      <c r="AO7" s="769"/>
      <c r="AP7" s="769"/>
      <c r="AQ7" s="769"/>
      <c r="AR7" s="769"/>
      <c r="AS7" s="769"/>
      <c r="AT7" s="769"/>
      <c r="AU7" s="769"/>
      <c r="AV7" s="769"/>
      <c r="AW7" s="769"/>
      <c r="AX7" s="769"/>
      <c r="AY7" s="769"/>
      <c r="AZ7" s="769"/>
      <c r="BA7" s="769"/>
      <c r="BB7" s="770"/>
      <c r="BC7" s="174"/>
      <c r="BF7" s="46" t="str">
        <f t="shared" si="0"/>
        <v/>
      </c>
      <c r="BI7" s="46">
        <v>0</v>
      </c>
    </row>
    <row r="8" spans="5:61" ht="11.25" hidden="1" customHeight="1">
      <c r="E8" s="747"/>
      <c r="F8" s="747"/>
      <c r="G8" s="747"/>
      <c r="H8" s="747"/>
      <c r="I8" s="747"/>
      <c r="J8" s="747"/>
      <c r="K8" s="745" t="e">
        <f>S4&amp;".1"</f>
        <v>#N/A</v>
      </c>
      <c r="P8" s="748"/>
      <c r="Q8" s="748"/>
      <c r="R8" s="788">
        <v>1</v>
      </c>
      <c r="S8" s="724" t="e">
        <f>$K8</f>
        <v>#N/A</v>
      </c>
      <c r="T8" s="799"/>
      <c r="U8" s="29"/>
      <c r="V8" s="168"/>
      <c r="W8" s="427"/>
      <c r="X8" s="168"/>
      <c r="Y8" s="427"/>
      <c r="Z8" s="544"/>
      <c r="AA8" s="69" t="s">
        <v>66</v>
      </c>
      <c r="AB8" s="544"/>
      <c r="AC8" s="69" t="s">
        <v>66</v>
      </c>
      <c r="AD8" s="686" t="s">
        <v>66</v>
      </c>
      <c r="AE8" s="784"/>
      <c r="AF8" s="722">
        <v>1</v>
      </c>
      <c r="AG8" s="798"/>
      <c r="AH8" s="688" t="s">
        <v>66</v>
      </c>
      <c r="AI8" s="784"/>
      <c r="AJ8" s="722">
        <v>1</v>
      </c>
      <c r="AK8" s="688" t="s">
        <v>22</v>
      </c>
      <c r="AL8" s="688" t="s">
        <v>66</v>
      </c>
      <c r="AM8" s="674"/>
      <c r="AN8" s="722">
        <v>1</v>
      </c>
      <c r="AO8" s="798"/>
      <c r="AP8" s="776" t="s">
        <v>66</v>
      </c>
      <c r="AQ8" s="29"/>
      <c r="AR8" s="148">
        <v>1</v>
      </c>
      <c r="AS8" s="74" t="s">
        <v>22</v>
      </c>
      <c r="AT8" s="168"/>
      <c r="AU8" s="427"/>
      <c r="AV8" s="168"/>
      <c r="AW8" s="427"/>
      <c r="AX8" s="544"/>
      <c r="AY8" s="69" t="s">
        <v>66</v>
      </c>
      <c r="AZ8" s="544"/>
      <c r="BA8" s="69" t="s">
        <v>66</v>
      </c>
      <c r="BB8" s="345"/>
      <c r="BC8" s="762" t="s">
        <v>504</v>
      </c>
      <c r="BF8" s="46" t="str">
        <f t="shared" si="0"/>
        <v/>
      </c>
      <c r="BI8" s="4">
        <v>0</v>
      </c>
    </row>
    <row r="9" spans="5:61" ht="11.25" hidden="1" customHeight="1">
      <c r="E9" s="747"/>
      <c r="F9" s="747"/>
      <c r="G9" s="747"/>
      <c r="H9" s="747"/>
      <c r="I9" s="747"/>
      <c r="J9" s="747"/>
      <c r="K9" s="745"/>
      <c r="P9" s="748"/>
      <c r="Q9" s="748"/>
      <c r="R9" s="788"/>
      <c r="S9" s="725"/>
      <c r="T9" s="800"/>
      <c r="U9" s="29"/>
      <c r="V9" s="457"/>
      <c r="W9" s="477"/>
      <c r="X9" s="457"/>
      <c r="Y9" s="477"/>
      <c r="Z9" s="457"/>
      <c r="AA9" s="457"/>
      <c r="AB9" s="457"/>
      <c r="AC9" s="457"/>
      <c r="AD9" s="689"/>
      <c r="AE9" s="784"/>
      <c r="AF9" s="722"/>
      <c r="AG9" s="798"/>
      <c r="AH9" s="688"/>
      <c r="AI9" s="784"/>
      <c r="AJ9" s="722"/>
      <c r="AK9" s="688"/>
      <c r="AL9" s="688"/>
      <c r="AM9" s="677"/>
      <c r="AN9" s="722"/>
      <c r="AO9" s="798"/>
      <c r="AP9" s="802"/>
      <c r="AQ9" s="98"/>
      <c r="AR9" s="37"/>
      <c r="AS9" s="37" t="s">
        <v>505</v>
      </c>
      <c r="AT9" s="457"/>
      <c r="AU9" s="477"/>
      <c r="AV9" s="457"/>
      <c r="AW9" s="477"/>
      <c r="AX9" s="457"/>
      <c r="AY9" s="457"/>
      <c r="AZ9" s="457"/>
      <c r="BA9" s="457"/>
      <c r="BB9" s="461"/>
      <c r="BC9" s="763"/>
      <c r="BI9" s="4">
        <v>0</v>
      </c>
    </row>
    <row r="10" spans="5:61" ht="11.25" hidden="1" customHeight="1">
      <c r="E10" s="747"/>
      <c r="F10" s="747"/>
      <c r="G10" s="747"/>
      <c r="H10" s="747"/>
      <c r="I10" s="747"/>
      <c r="J10" s="747"/>
      <c r="K10" s="745"/>
      <c r="P10" s="748"/>
      <c r="Q10" s="748"/>
      <c r="R10" s="788"/>
      <c r="S10" s="725"/>
      <c r="T10" s="800"/>
      <c r="U10" s="29"/>
      <c r="V10" s="457"/>
      <c r="W10" s="477"/>
      <c r="X10" s="457"/>
      <c r="Y10" s="477"/>
      <c r="Z10" s="457"/>
      <c r="AA10" s="457"/>
      <c r="AB10" s="457"/>
      <c r="AC10" s="457"/>
      <c r="AD10" s="689"/>
      <c r="AE10" s="784"/>
      <c r="AF10" s="722"/>
      <c r="AG10" s="798"/>
      <c r="AH10" s="688"/>
      <c r="AI10" s="784"/>
      <c r="AJ10" s="722"/>
      <c r="AK10" s="688"/>
      <c r="AL10" s="688"/>
      <c r="AM10" s="98"/>
      <c r="AN10" s="130"/>
      <c r="AO10" s="130" t="s">
        <v>506</v>
      </c>
      <c r="AP10" s="37"/>
      <c r="AQ10" s="37"/>
      <c r="AR10" s="37"/>
      <c r="AS10" s="457"/>
      <c r="AT10" s="457"/>
      <c r="AU10" s="477"/>
      <c r="AV10" s="457"/>
      <c r="AW10" s="477"/>
      <c r="AX10" s="457"/>
      <c r="AY10" s="457"/>
      <c r="AZ10" s="457"/>
      <c r="BA10" s="457"/>
      <c r="BB10" s="461"/>
      <c r="BC10" s="763"/>
      <c r="BI10" s="4">
        <v>0</v>
      </c>
    </row>
    <row r="11" spans="5:61" ht="11.25" hidden="1" customHeight="1">
      <c r="E11" s="747"/>
      <c r="F11" s="747"/>
      <c r="G11" s="747"/>
      <c r="H11" s="747"/>
      <c r="I11" s="747"/>
      <c r="J11" s="747"/>
      <c r="K11" s="745"/>
      <c r="P11" s="748"/>
      <c r="Q11" s="748"/>
      <c r="R11" s="788"/>
      <c r="S11" s="725"/>
      <c r="T11" s="800"/>
      <c r="U11" s="29"/>
      <c r="V11" s="457"/>
      <c r="W11" s="477"/>
      <c r="X11" s="457"/>
      <c r="Y11" s="477"/>
      <c r="Z11" s="457"/>
      <c r="AA11" s="457"/>
      <c r="AB11" s="457"/>
      <c r="AC11" s="457"/>
      <c r="AD11" s="689"/>
      <c r="AE11" s="784"/>
      <c r="AF11" s="722"/>
      <c r="AG11" s="798"/>
      <c r="AH11" s="688"/>
      <c r="AI11" s="98"/>
      <c r="AJ11" s="37"/>
      <c r="AK11" s="37" t="s">
        <v>507</v>
      </c>
      <c r="AL11" s="457"/>
      <c r="AM11" s="457"/>
      <c r="AN11" s="457"/>
      <c r="AO11" s="457"/>
      <c r="AP11" s="457"/>
      <c r="AQ11" s="457"/>
      <c r="AR11" s="457"/>
      <c r="AS11" s="457"/>
      <c r="AT11" s="457"/>
      <c r="AU11" s="477"/>
      <c r="AV11" s="457"/>
      <c r="AW11" s="477"/>
      <c r="AX11" s="457"/>
      <c r="AY11" s="457"/>
      <c r="AZ11" s="457"/>
      <c r="BA11" s="457"/>
      <c r="BB11" s="461"/>
      <c r="BC11" s="763"/>
      <c r="BI11" s="4">
        <v>0</v>
      </c>
    </row>
    <row r="12" spans="5:61" ht="11.25" hidden="1" customHeight="1">
      <c r="E12" s="747"/>
      <c r="F12" s="747"/>
      <c r="G12" s="747"/>
      <c r="H12" s="747"/>
      <c r="I12" s="747"/>
      <c r="J12" s="747"/>
      <c r="K12" s="745"/>
      <c r="P12" s="748"/>
      <c r="Q12" s="748"/>
      <c r="R12" s="788"/>
      <c r="S12" s="726"/>
      <c r="T12" s="801"/>
      <c r="U12" s="29"/>
      <c r="V12" s="457"/>
      <c r="W12" s="458" t="str">
        <f>Z8&amp;"-"&amp;AB8</f>
        <v>-</v>
      </c>
      <c r="X12" s="457"/>
      <c r="Y12" s="458" t="str">
        <f>AB8&amp;"-"&amp;AD8</f>
        <v>-да</v>
      </c>
      <c r="Z12" s="457"/>
      <c r="AA12" s="457"/>
      <c r="AB12" s="457"/>
      <c r="AC12" s="457"/>
      <c r="AD12" s="687"/>
      <c r="AE12" s="98"/>
      <c r="AF12" s="37"/>
      <c r="AG12" s="37" t="s">
        <v>508</v>
      </c>
      <c r="AH12" s="457"/>
      <c r="AI12" s="457"/>
      <c r="AJ12" s="457"/>
      <c r="AK12" s="457"/>
      <c r="AL12" s="457"/>
      <c r="AM12" s="457"/>
      <c r="AN12" s="457"/>
      <c r="AO12" s="457"/>
      <c r="AP12" s="457"/>
      <c r="AQ12" s="457"/>
      <c r="AR12" s="457"/>
      <c r="AS12" s="457"/>
      <c r="AT12" s="457"/>
      <c r="AU12" s="458" t="str">
        <f>AX8&amp;"-"&amp;AZ8</f>
        <v>-</v>
      </c>
      <c r="AV12" s="457"/>
      <c r="AW12" s="458" t="str">
        <f>AZ8&amp;"-"&amp;BB8</f>
        <v>-</v>
      </c>
      <c r="AX12" s="457"/>
      <c r="AY12" s="457"/>
      <c r="AZ12" s="457"/>
      <c r="BA12" s="457"/>
      <c r="BB12" s="460" t="str">
        <f>BE8&amp;"-"&amp;BG8</f>
        <v>-</v>
      </c>
      <c r="BC12" s="763"/>
      <c r="BF12" s="46" t="str">
        <f t="shared" ref="BF12:BF18" si="1">IF(T12="","",T12)</f>
        <v/>
      </c>
      <c r="BI12" s="4">
        <v>0</v>
      </c>
    </row>
    <row r="13" spans="5:61" ht="11.25" hidden="1" customHeight="1">
      <c r="E13" s="747"/>
      <c r="F13" s="747"/>
      <c r="G13" s="747"/>
      <c r="H13" s="747"/>
      <c r="I13" s="747"/>
      <c r="J13" s="745"/>
      <c r="P13" s="748"/>
      <c r="Q13" s="748"/>
      <c r="R13" s="120"/>
      <c r="S13" s="434"/>
      <c r="T13" s="37" t="s">
        <v>471</v>
      </c>
      <c r="U13" s="58"/>
      <c r="V13" s="58"/>
      <c r="W13" s="58"/>
      <c r="X13" s="58"/>
      <c r="Y13" s="58"/>
      <c r="Z13" s="58"/>
      <c r="AA13" s="58"/>
      <c r="AB13" s="58"/>
      <c r="AC13" s="58"/>
      <c r="AD13" s="184"/>
      <c r="AE13" s="58"/>
      <c r="AF13" s="58"/>
      <c r="AG13" s="58"/>
      <c r="AH13" s="58"/>
      <c r="AI13" s="58"/>
      <c r="AJ13" s="58"/>
      <c r="AK13" s="58"/>
      <c r="AL13" s="58"/>
      <c r="AM13" s="58"/>
      <c r="AN13" s="58"/>
      <c r="AO13" s="58"/>
      <c r="AP13" s="58"/>
      <c r="AQ13" s="58"/>
      <c r="AR13" s="58"/>
      <c r="AS13" s="58"/>
      <c r="AT13" s="58"/>
      <c r="AU13" s="58"/>
      <c r="AV13" s="58"/>
      <c r="AW13" s="58"/>
      <c r="AX13" s="58"/>
      <c r="AY13" s="58"/>
      <c r="AZ13" s="58"/>
      <c r="BA13" s="58"/>
      <c r="BB13" s="59"/>
      <c r="BC13" s="764"/>
      <c r="BF13" s="46" t="str">
        <f t="shared" si="1"/>
        <v>Добавить строку</v>
      </c>
      <c r="BI13" s="4">
        <v>0</v>
      </c>
    </row>
    <row r="14" spans="5:61" s="46" customFormat="1" ht="14.25" hidden="1" customHeight="1">
      <c r="E14" s="747"/>
      <c r="F14" s="747"/>
      <c r="G14" s="747"/>
      <c r="H14" s="747"/>
      <c r="I14" s="745"/>
      <c r="M14" s="160"/>
      <c r="N14" s="160"/>
      <c r="O14" s="160"/>
      <c r="P14" s="748"/>
      <c r="R14" s="120"/>
      <c r="S14" s="455"/>
      <c r="T14" s="354"/>
      <c r="U14" s="354"/>
      <c r="V14" s="354"/>
      <c r="W14" s="354"/>
      <c r="X14" s="354"/>
      <c r="Y14" s="354"/>
      <c r="Z14" s="354"/>
      <c r="AA14" s="354"/>
      <c r="AB14" s="354"/>
      <c r="AC14" s="354"/>
      <c r="AD14" s="354"/>
      <c r="AE14" s="354"/>
      <c r="AF14" s="354"/>
      <c r="AG14" s="354"/>
      <c r="AH14" s="354"/>
      <c r="AI14" s="354"/>
      <c r="AJ14" s="354"/>
      <c r="AK14" s="354"/>
      <c r="AL14" s="354"/>
      <c r="AM14" s="354"/>
      <c r="AN14" s="354"/>
      <c r="AO14" s="354"/>
      <c r="AP14" s="354"/>
      <c r="AQ14" s="354"/>
      <c r="AR14" s="354"/>
      <c r="AS14" s="354"/>
      <c r="AT14" s="354"/>
      <c r="AU14" s="354"/>
      <c r="AV14" s="354"/>
      <c r="AW14" s="354"/>
      <c r="AX14" s="354"/>
      <c r="AY14" s="354"/>
      <c r="AZ14" s="354"/>
      <c r="BA14" s="354"/>
      <c r="BB14" s="354"/>
      <c r="BC14" s="314"/>
      <c r="BF14" s="46" t="str">
        <f t="shared" si="1"/>
        <v/>
      </c>
      <c r="BI14" s="46">
        <v>0</v>
      </c>
    </row>
    <row r="15" spans="5:61" s="46" customFormat="1" ht="14.25" hidden="1" customHeight="1">
      <c r="E15" s="747"/>
      <c r="F15" s="747"/>
      <c r="G15" s="747"/>
      <c r="H15" s="745"/>
      <c r="Q15" s="446"/>
      <c r="R15" s="120"/>
      <c r="S15" s="455"/>
      <c r="T15" s="354"/>
      <c r="U15" s="354"/>
      <c r="V15" s="354"/>
      <c r="W15" s="354"/>
      <c r="X15" s="354"/>
      <c r="Y15" s="354"/>
      <c r="Z15" s="354"/>
      <c r="AA15" s="354"/>
      <c r="AB15" s="354"/>
      <c r="AC15" s="354"/>
      <c r="AD15" s="354"/>
      <c r="AE15" s="354"/>
      <c r="AF15" s="354"/>
      <c r="AG15" s="354"/>
      <c r="AH15" s="354"/>
      <c r="AI15" s="354"/>
      <c r="AJ15" s="354"/>
      <c r="AK15" s="354"/>
      <c r="AL15" s="354"/>
      <c r="AM15" s="354"/>
      <c r="AN15" s="354"/>
      <c r="AO15" s="354"/>
      <c r="AP15" s="354"/>
      <c r="AQ15" s="354"/>
      <c r="AR15" s="354"/>
      <c r="AS15" s="354"/>
      <c r="AT15" s="354"/>
      <c r="AU15" s="354"/>
      <c r="AV15" s="354"/>
      <c r="AW15" s="354"/>
      <c r="AX15" s="354"/>
      <c r="AY15" s="354"/>
      <c r="AZ15" s="354"/>
      <c r="BA15" s="354"/>
      <c r="BB15" s="354"/>
      <c r="BC15" s="314"/>
      <c r="BF15" s="46" t="str">
        <f t="shared" si="1"/>
        <v/>
      </c>
      <c r="BI15" s="46">
        <v>0</v>
      </c>
    </row>
    <row r="16" spans="5:61" s="46" customFormat="1" ht="14.25" hidden="1" customHeight="1">
      <c r="E16" s="747"/>
      <c r="F16" s="747"/>
      <c r="G16" s="745"/>
      <c r="Q16" s="446"/>
      <c r="S16" s="449"/>
      <c r="T16" s="160"/>
      <c r="U16" s="160"/>
      <c r="V16" s="160"/>
      <c r="W16" s="160"/>
      <c r="X16" s="160"/>
      <c r="Y16" s="160"/>
      <c r="Z16" s="160"/>
      <c r="AA16" s="160"/>
      <c r="AB16" s="160"/>
      <c r="AC16" s="160"/>
      <c r="AD16" s="160"/>
      <c r="AE16" s="160"/>
      <c r="AF16" s="160"/>
      <c r="AG16" s="160"/>
      <c r="AH16" s="160"/>
      <c r="AI16" s="160"/>
      <c r="AJ16" s="160"/>
      <c r="AK16" s="160"/>
      <c r="AL16" s="160"/>
      <c r="AM16" s="160"/>
      <c r="AN16" s="160"/>
      <c r="AO16" s="160"/>
      <c r="AP16" s="160"/>
      <c r="AQ16" s="160"/>
      <c r="AR16" s="160"/>
      <c r="AS16" s="160"/>
      <c r="AT16" s="160"/>
      <c r="AU16" s="160"/>
      <c r="AV16" s="160"/>
      <c r="AW16" s="160"/>
      <c r="AX16" s="160"/>
      <c r="AY16" s="160"/>
      <c r="AZ16" s="160"/>
      <c r="BA16" s="160"/>
      <c r="BB16" s="160"/>
      <c r="BC16" s="160"/>
      <c r="BF16" s="46" t="str">
        <f t="shared" si="1"/>
        <v/>
      </c>
      <c r="BI16" s="46">
        <v>0</v>
      </c>
    </row>
    <row r="17" spans="1:61" s="46" customFormat="1" ht="14.25" hidden="1" customHeight="1">
      <c r="E17" s="747"/>
      <c r="F17" s="745"/>
      <c r="M17" s="160"/>
      <c r="N17" s="160"/>
      <c r="Q17" s="446"/>
      <c r="S17" s="449"/>
      <c r="T17" s="160" t="s">
        <v>418</v>
      </c>
      <c r="U17" s="160"/>
      <c r="V17" s="160"/>
      <c r="W17" s="160"/>
      <c r="X17" s="160"/>
      <c r="Y17" s="160"/>
      <c r="Z17" s="160"/>
      <c r="AA17" s="160"/>
      <c r="AB17" s="160"/>
      <c r="AC17" s="160"/>
      <c r="AD17" s="160"/>
      <c r="AE17" s="160"/>
      <c r="AF17" s="160"/>
      <c r="AG17" s="160"/>
      <c r="AH17" s="160"/>
      <c r="AI17" s="160"/>
      <c r="AJ17" s="160"/>
      <c r="AK17" s="160"/>
      <c r="AL17" s="160"/>
      <c r="AM17" s="160"/>
      <c r="AN17" s="160"/>
      <c r="AO17" s="160"/>
      <c r="AP17" s="160"/>
      <c r="AQ17" s="160"/>
      <c r="AR17" s="160"/>
      <c r="AS17" s="160"/>
      <c r="AT17" s="160"/>
      <c r="AU17" s="160"/>
      <c r="AV17" s="160"/>
      <c r="AW17" s="160"/>
      <c r="AX17" s="160"/>
      <c r="AY17" s="160"/>
      <c r="AZ17" s="160"/>
      <c r="BA17" s="160"/>
      <c r="BB17" s="160"/>
      <c r="BC17" s="160"/>
      <c r="BF17" s="46" t="str">
        <f t="shared" si="1"/>
        <v>Добавить централизованную систему для дифференциации</v>
      </c>
      <c r="BI17" s="46">
        <v>0</v>
      </c>
    </row>
    <row r="18" spans="1:61" s="46" customFormat="1" ht="14.25" hidden="1" customHeight="1">
      <c r="E18" s="745"/>
      <c r="M18" s="160"/>
      <c r="N18" s="160"/>
      <c r="Q18" s="446"/>
      <c r="S18" s="449"/>
      <c r="T18" s="160" t="s">
        <v>419</v>
      </c>
      <c r="U18" s="160"/>
      <c r="V18" s="160"/>
      <c r="W18" s="160"/>
      <c r="X18" s="160"/>
      <c r="Y18" s="160"/>
      <c r="Z18" s="160"/>
      <c r="AA18" s="160"/>
      <c r="AB18" s="160"/>
      <c r="AC18" s="160"/>
      <c r="AD18" s="160"/>
      <c r="AE18" s="160"/>
      <c r="AF18" s="160"/>
      <c r="AG18" s="160"/>
      <c r="AH18" s="160"/>
      <c r="AI18" s="160"/>
      <c r="AJ18" s="160"/>
      <c r="AK18" s="160"/>
      <c r="AL18" s="160"/>
      <c r="AM18" s="160"/>
      <c r="AN18" s="160"/>
      <c r="AO18" s="160"/>
      <c r="AP18" s="160"/>
      <c r="AQ18" s="160"/>
      <c r="AR18" s="160"/>
      <c r="AS18" s="160"/>
      <c r="AT18" s="160"/>
      <c r="AU18" s="160"/>
      <c r="AV18" s="160"/>
      <c r="AW18" s="160"/>
      <c r="AX18" s="160"/>
      <c r="AY18" s="160"/>
      <c r="AZ18" s="160"/>
      <c r="BA18" s="160"/>
      <c r="BB18" s="160"/>
      <c r="BC18" s="160"/>
      <c r="BF18" s="46" t="str">
        <f t="shared" si="1"/>
        <v>Добавить территорию для дифференциации</v>
      </c>
      <c r="BI18" s="46">
        <v>0</v>
      </c>
    </row>
    <row r="19" spans="1:61" ht="14.25" hidden="1" customHeight="1">
      <c r="BI19" s="4">
        <v>0</v>
      </c>
    </row>
    <row r="20" spans="1:61" ht="14.25" hidden="1" customHeight="1">
      <c r="AD20" s="160" t="s">
        <v>19</v>
      </c>
      <c r="AE20" s="478"/>
      <c r="AF20" s="160">
        <v>1</v>
      </c>
      <c r="AG20" s="160"/>
      <c r="AH20" s="160" t="s">
        <v>19</v>
      </c>
      <c r="AI20" s="478"/>
      <c r="AJ20" s="160">
        <v>1</v>
      </c>
      <c r="AK20" s="160"/>
      <c r="AL20" s="160" t="s">
        <v>19</v>
      </c>
      <c r="AM20" s="46"/>
      <c r="AN20" s="160">
        <v>1</v>
      </c>
      <c r="AO20" s="46"/>
      <c r="AP20" s="160" t="s">
        <v>19</v>
      </c>
      <c r="AQ20" s="46"/>
      <c r="AR20" s="160">
        <v>1</v>
      </c>
      <c r="AS20" s="46"/>
      <c r="AT20" s="110"/>
      <c r="AU20" s="123"/>
      <c r="AV20" s="110"/>
      <c r="AW20" s="123"/>
      <c r="AX20" s="547"/>
      <c r="AY20" s="332" t="s">
        <v>66</v>
      </c>
      <c r="AZ20" s="547"/>
      <c r="BA20" s="332" t="s">
        <v>66</v>
      </c>
      <c r="BI20" s="4">
        <v>0</v>
      </c>
    </row>
    <row r="21" spans="1:61" ht="14.25" hidden="1" customHeight="1">
      <c r="BD21" s="117"/>
      <c r="BE21" s="117"/>
      <c r="BF21" s="117"/>
      <c r="BG21" s="117"/>
      <c r="BH21" s="117"/>
      <c r="BI21" s="4">
        <v>0</v>
      </c>
    </row>
    <row r="22" spans="1:61" ht="14.25" hidden="1" customHeight="1">
      <c r="O22" s="261" t="s">
        <v>420</v>
      </c>
      <c r="Z22" s="31"/>
      <c r="AB22" s="31"/>
      <c r="AX22" s="31"/>
      <c r="AZ22" s="31"/>
      <c r="BD22" s="117"/>
      <c r="BE22" s="117"/>
      <c r="BF22" s="117"/>
      <c r="BG22" s="117"/>
      <c r="BH22" s="117"/>
      <c r="BI22" s="4">
        <v>0</v>
      </c>
    </row>
    <row r="23" spans="1:61" ht="14.25" hidden="1" customHeight="1">
      <c r="BD23" s="117"/>
      <c r="BE23" s="117"/>
      <c r="BF23" s="117"/>
      <c r="BG23" s="117"/>
      <c r="BH23" s="117"/>
      <c r="BI23" s="4">
        <v>0</v>
      </c>
    </row>
    <row r="24" spans="1:61" s="43" customFormat="1" ht="14.25" hidden="1" customHeight="1">
      <c r="M24" s="167"/>
      <c r="N24" s="167"/>
      <c r="O24" s="43" t="s">
        <v>421</v>
      </c>
      <c r="P24" s="167"/>
      <c r="Q24" s="452"/>
      <c r="R24" s="452"/>
      <c r="AA24" s="43" t="s">
        <v>423</v>
      </c>
      <c r="AC24" s="43" t="s">
        <v>424</v>
      </c>
      <c r="AD24" s="43" t="s">
        <v>472</v>
      </c>
      <c r="AH24" s="43" t="s">
        <v>472</v>
      </c>
      <c r="AK24" s="43" t="s">
        <v>509</v>
      </c>
      <c r="AL24" s="43" t="s">
        <v>472</v>
      </c>
      <c r="AP24" s="43" t="s">
        <v>472</v>
      </c>
      <c r="AY24" s="43" t="s">
        <v>423</v>
      </c>
      <c r="BA24" s="43" t="s">
        <v>424</v>
      </c>
      <c r="BD24" s="46"/>
      <c r="BE24" s="46"/>
      <c r="BF24" s="46"/>
      <c r="BG24" s="46"/>
      <c r="BH24" s="46"/>
      <c r="BI24" s="43">
        <v>0</v>
      </c>
    </row>
    <row r="25" spans="1:61" ht="14.25" hidden="1" customHeight="1">
      <c r="O25" s="43"/>
      <c r="BD25" s="117"/>
      <c r="BE25" s="117"/>
      <c r="BF25" s="117"/>
      <c r="BG25" s="117"/>
      <c r="BH25" s="117"/>
      <c r="BI25" s="4">
        <v>0</v>
      </c>
    </row>
    <row r="26" spans="1:61" ht="14.25" hidden="1" customHeight="1">
      <c r="O26" s="43"/>
      <c r="BD26" s="117"/>
      <c r="BE26" s="117"/>
      <c r="BF26" s="117"/>
      <c r="BG26" s="117"/>
      <c r="BH26" s="117"/>
      <c r="BI26" s="4">
        <v>0</v>
      </c>
    </row>
    <row r="27" spans="1:61" ht="14.65" customHeight="1">
      <c r="Q27" s="97"/>
      <c r="R27" s="19"/>
      <c r="S27" s="6"/>
      <c r="T27" s="6"/>
      <c r="U27" s="6"/>
      <c r="BI27" s="4">
        <v>14</v>
      </c>
    </row>
    <row r="28" spans="1:61" ht="14.65" customHeight="1">
      <c r="Q28" s="97"/>
      <c r="R28" s="19"/>
      <c r="S28" s="697" t="str">
        <f>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697"/>
      <c r="U28" s="697"/>
      <c r="V28" s="697"/>
      <c r="W28" s="697"/>
      <c r="X28" s="697"/>
      <c r="Y28" s="697"/>
      <c r="Z28" s="697"/>
      <c r="AA28" s="697"/>
      <c r="AB28" s="697"/>
      <c r="AC28" s="697"/>
      <c r="AD28" s="697"/>
      <c r="AE28" s="697"/>
      <c r="AF28" s="697"/>
      <c r="AG28" s="697"/>
      <c r="AH28" s="697"/>
      <c r="AI28" s="697"/>
      <c r="AJ28" s="697"/>
      <c r="AK28" s="697"/>
      <c r="AL28" s="697"/>
      <c r="AM28" s="697"/>
      <c r="AN28" s="697"/>
      <c r="AO28" s="697"/>
      <c r="AP28" s="697"/>
      <c r="AQ28" s="697"/>
      <c r="AR28" s="697"/>
      <c r="AS28" s="697"/>
      <c r="AT28" s="697"/>
      <c r="AU28" s="697"/>
      <c r="AV28" s="697"/>
      <c r="AW28" s="697"/>
      <c r="AX28" s="697"/>
      <c r="AY28" s="697"/>
      <c r="AZ28" s="697"/>
      <c r="BA28" s="40"/>
      <c r="BI28" s="4">
        <v>14</v>
      </c>
    </row>
    <row r="29" spans="1:61" ht="14.65" customHeight="1">
      <c r="Q29" s="97"/>
      <c r="R29" s="19"/>
      <c r="S29" s="712" t="str">
        <f>IF(org=0,"Не определено",org)</f>
        <v>ООО "Восточная Тепловая компания"</v>
      </c>
      <c r="T29" s="712"/>
      <c r="U29" s="712"/>
      <c r="V29" s="712"/>
      <c r="W29" s="712"/>
      <c r="X29" s="712"/>
      <c r="Y29" s="712"/>
      <c r="Z29" s="712"/>
      <c r="AA29" s="712"/>
      <c r="AB29" s="712"/>
      <c r="AC29" s="712"/>
      <c r="AD29" s="712"/>
      <c r="AE29" s="712"/>
      <c r="AF29" s="712"/>
      <c r="AG29" s="712"/>
      <c r="AH29" s="712"/>
      <c r="AI29" s="712"/>
      <c r="AJ29" s="712"/>
      <c r="AK29" s="712"/>
      <c r="AL29" s="712"/>
      <c r="AM29" s="712"/>
      <c r="AN29" s="712"/>
      <c r="AO29" s="712"/>
      <c r="AP29" s="712"/>
      <c r="AQ29" s="712"/>
      <c r="AR29" s="712"/>
      <c r="AS29" s="712"/>
      <c r="AT29" s="712"/>
      <c r="AU29" s="712"/>
      <c r="AV29" s="712"/>
      <c r="AW29" s="712"/>
      <c r="AX29" s="712"/>
      <c r="AY29" s="712"/>
      <c r="AZ29" s="712"/>
      <c r="BA29" s="40"/>
      <c r="BI29" s="4">
        <v>14</v>
      </c>
    </row>
    <row r="30" spans="1:61" ht="14.25" hidden="1" customHeight="1">
      <c r="Q30" s="97"/>
      <c r="R30" s="19"/>
      <c r="S30" s="6"/>
      <c r="T30" s="6"/>
      <c r="U30" s="6"/>
      <c r="V30" s="109"/>
      <c r="W30" s="109"/>
      <c r="X30" s="109"/>
      <c r="Y30" s="109"/>
      <c r="Z30" s="109"/>
      <c r="AA30" s="109"/>
      <c r="AB30" s="109"/>
      <c r="AC30" s="109"/>
      <c r="AD30" s="109"/>
      <c r="AE30" s="109"/>
      <c r="AF30" s="109"/>
      <c r="AG30" s="109"/>
      <c r="AH30" s="109"/>
      <c r="AI30" s="109"/>
      <c r="AJ30" s="109"/>
      <c r="AK30" s="109"/>
      <c r="AL30" s="109"/>
      <c r="AM30" s="109"/>
      <c r="AN30" s="109"/>
      <c r="AO30" s="109"/>
      <c r="AP30" s="109"/>
      <c r="AQ30" s="109"/>
      <c r="AR30" s="109"/>
      <c r="AS30" s="109"/>
      <c r="AT30" s="109"/>
      <c r="AU30" s="109"/>
      <c r="AV30" s="109"/>
      <c r="AW30" s="109"/>
      <c r="AX30" s="109"/>
      <c r="AY30" s="109"/>
      <c r="AZ30" s="109"/>
      <c r="BA30" s="109"/>
      <c r="BI30" s="4">
        <v>0</v>
      </c>
    </row>
    <row r="31" spans="1:61" s="22" customFormat="1" ht="25.5" hidden="1" customHeight="1">
      <c r="A31" s="43"/>
      <c r="B31" s="43"/>
      <c r="C31" s="43"/>
      <c r="D31" s="43"/>
      <c r="E31" s="43"/>
      <c r="F31" s="43"/>
      <c r="G31" s="43"/>
      <c r="H31" s="43"/>
      <c r="I31" s="43"/>
      <c r="J31" s="43"/>
      <c r="K31" s="43"/>
      <c r="L31" s="43"/>
      <c r="M31" s="43"/>
      <c r="N31" s="43"/>
      <c r="O31" s="43"/>
      <c r="P31" s="43"/>
      <c r="Q31" s="43"/>
      <c r="S31" s="721" t="s">
        <v>42</v>
      </c>
      <c r="T31" s="721"/>
      <c r="U31" s="453"/>
      <c r="V31" s="741" t="str">
        <f>IF(TITLE_NAME_OR_PR_CHANGE="",IF(TITLE_NAME_OR_PR="","",TITLE_NAME_OR_PR),TITLE_NAME_OR_PR_CHANGE)</f>
        <v/>
      </c>
      <c r="W31" s="741"/>
      <c r="X31" s="741"/>
      <c r="Y31" s="741"/>
      <c r="Z31" s="741"/>
      <c r="AA31" s="741"/>
      <c r="AB31" s="741"/>
      <c r="AC31" s="4"/>
      <c r="AD31" s="741" t="str">
        <f>IF(TITLE_NAME_OR_PR_CHANGE="",IF(TITLE_NAME_OR_PR="","",TITLE_NAME_OR_PR),TITLE_NAME_OR_PR_CHANGE)</f>
        <v/>
      </c>
      <c r="AE31" s="741"/>
      <c r="AF31" s="741"/>
      <c r="AG31" s="741"/>
      <c r="AH31" s="741"/>
      <c r="AI31" s="741"/>
      <c r="AJ31" s="741"/>
      <c r="AK31" s="741"/>
      <c r="AL31" s="741"/>
      <c r="AM31" s="741"/>
      <c r="AN31" s="741"/>
      <c r="AO31" s="741"/>
      <c r="AP31" s="741"/>
      <c r="AQ31" s="741"/>
      <c r="AR31" s="741"/>
      <c r="AS31" s="741"/>
      <c r="AT31" s="741"/>
      <c r="AU31" s="741"/>
      <c r="AV31" s="741"/>
      <c r="AW31" s="741"/>
      <c r="AX31" s="741"/>
      <c r="AY31" s="741"/>
      <c r="AZ31" s="741"/>
      <c r="BA31" s="4"/>
      <c r="BB31" s="4"/>
      <c r="BC31" s="96"/>
      <c r="BD31" s="46"/>
      <c r="BE31" s="46"/>
      <c r="BF31" s="46"/>
      <c r="BG31" s="46"/>
      <c r="BH31" s="46"/>
      <c r="BI31" s="22">
        <v>0</v>
      </c>
    </row>
    <row r="32" spans="1:61" s="22" customFormat="1" ht="18.75" hidden="1" customHeight="1">
      <c r="A32" s="43"/>
      <c r="B32" s="43"/>
      <c r="C32" s="43"/>
      <c r="D32" s="43"/>
      <c r="E32" s="43"/>
      <c r="F32" s="43"/>
      <c r="G32" s="43"/>
      <c r="H32" s="43"/>
      <c r="I32" s="43"/>
      <c r="J32" s="43"/>
      <c r="K32" s="43"/>
      <c r="L32" s="43"/>
      <c r="M32" s="43"/>
      <c r="N32" s="43"/>
      <c r="O32" s="43"/>
      <c r="P32" s="43"/>
      <c r="Q32" s="43"/>
      <c r="S32" s="721" t="s">
        <v>426</v>
      </c>
      <c r="T32" s="721"/>
      <c r="U32" s="453"/>
      <c r="V32" s="740" t="str">
        <f>IF(TITLE_DATE_PR_CHANGE="",IF(TITLE_DATE_PR="","",TITLE_DATE_PR),TITLE_DATE_PR_CHANGE)</f>
        <v/>
      </c>
      <c r="W32" s="740"/>
      <c r="X32" s="740"/>
      <c r="Y32" s="740"/>
      <c r="Z32" s="740"/>
      <c r="AA32" s="740"/>
      <c r="AB32" s="740"/>
      <c r="AC32" s="4"/>
      <c r="AD32" s="740" t="str">
        <f>IF(TITLE_DATE_PR_CHANGE="",IF(TITLE_DATE_PR="","",TITLE_DATE_PR),TITLE_DATE_PR_CHANGE)</f>
        <v/>
      </c>
      <c r="AE32" s="740"/>
      <c r="AF32" s="740"/>
      <c r="AG32" s="740"/>
      <c r="AH32" s="740"/>
      <c r="AI32" s="740"/>
      <c r="AJ32" s="740"/>
      <c r="AK32" s="740"/>
      <c r="AL32" s="740"/>
      <c r="AM32" s="740"/>
      <c r="AN32" s="740"/>
      <c r="AO32" s="740"/>
      <c r="AP32" s="740"/>
      <c r="AQ32" s="740"/>
      <c r="AR32" s="740"/>
      <c r="AS32" s="740"/>
      <c r="AT32" s="740"/>
      <c r="AU32" s="740"/>
      <c r="AV32" s="740"/>
      <c r="AW32" s="740"/>
      <c r="AX32" s="740"/>
      <c r="AY32" s="740"/>
      <c r="AZ32" s="740"/>
      <c r="BA32" s="4"/>
      <c r="BB32" s="4"/>
      <c r="BC32" s="96"/>
      <c r="BD32" s="46"/>
      <c r="BE32" s="46"/>
      <c r="BF32" s="46"/>
      <c r="BG32" s="46"/>
      <c r="BH32" s="46"/>
      <c r="BI32" s="22">
        <v>0</v>
      </c>
    </row>
    <row r="33" spans="1:61" s="22" customFormat="1" ht="18.75" hidden="1" customHeight="1">
      <c r="A33" s="43"/>
      <c r="B33" s="43"/>
      <c r="C33" s="43"/>
      <c r="D33" s="43"/>
      <c r="E33" s="43"/>
      <c r="F33" s="43"/>
      <c r="G33" s="43"/>
      <c r="H33" s="43"/>
      <c r="I33" s="43"/>
      <c r="J33" s="43"/>
      <c r="K33" s="43"/>
      <c r="L33" s="43"/>
      <c r="M33" s="43"/>
      <c r="N33" s="43"/>
      <c r="O33" s="43"/>
      <c r="P33" s="43"/>
      <c r="Q33" s="43"/>
      <c r="S33" s="721" t="s">
        <v>427</v>
      </c>
      <c r="T33" s="721"/>
      <c r="U33" s="453"/>
      <c r="V33" s="741" t="str">
        <f>IF(TITLE_NUMBER_PR_CHANGE="",IF(TITLE_NUMBER_PR="","",TITLE_NUMBER_PR),TITLE_NUMBER_PR_CHANGE)</f>
        <v/>
      </c>
      <c r="W33" s="741"/>
      <c r="X33" s="741"/>
      <c r="Y33" s="741"/>
      <c r="Z33" s="741"/>
      <c r="AA33" s="741"/>
      <c r="AB33" s="741"/>
      <c r="AC33" s="4"/>
      <c r="AD33" s="741" t="str">
        <f>IF(TITLE_NUMBER_PR_CHANGE="",IF(TITLE_NUMBER_PR="","",TITLE_NUMBER_PR),TITLE_NUMBER_PR_CHANGE)</f>
        <v/>
      </c>
      <c r="AE33" s="741"/>
      <c r="AF33" s="741"/>
      <c r="AG33" s="741"/>
      <c r="AH33" s="741"/>
      <c r="AI33" s="741"/>
      <c r="AJ33" s="741"/>
      <c r="AK33" s="741"/>
      <c r="AL33" s="741"/>
      <c r="AM33" s="741"/>
      <c r="AN33" s="741"/>
      <c r="AO33" s="741"/>
      <c r="AP33" s="741"/>
      <c r="AQ33" s="741"/>
      <c r="AR33" s="741"/>
      <c r="AS33" s="741"/>
      <c r="AT33" s="741"/>
      <c r="AU33" s="741"/>
      <c r="AV33" s="741"/>
      <c r="AW33" s="741"/>
      <c r="AX33" s="741"/>
      <c r="AY33" s="741"/>
      <c r="AZ33" s="741"/>
      <c r="BA33" s="4"/>
      <c r="BB33" s="4"/>
      <c r="BC33" s="96"/>
      <c r="BD33" s="46"/>
      <c r="BE33" s="46"/>
      <c r="BF33" s="46"/>
      <c r="BG33" s="46"/>
      <c r="BH33" s="46"/>
      <c r="BI33" s="22">
        <v>0</v>
      </c>
    </row>
    <row r="34" spans="1:61" s="22" customFormat="1" ht="18.75" hidden="1" customHeight="1">
      <c r="A34" s="43"/>
      <c r="B34" s="43"/>
      <c r="C34" s="43"/>
      <c r="D34" s="43"/>
      <c r="E34" s="43"/>
      <c r="F34" s="43"/>
      <c r="G34" s="43"/>
      <c r="H34" s="43"/>
      <c r="I34" s="43"/>
      <c r="J34" s="43"/>
      <c r="K34" s="43"/>
      <c r="L34" s="43"/>
      <c r="M34" s="43"/>
      <c r="N34" s="43"/>
      <c r="O34" s="43"/>
      <c r="P34" s="43"/>
      <c r="Q34" s="43"/>
      <c r="S34" s="721" t="s">
        <v>43</v>
      </c>
      <c r="T34" s="721"/>
      <c r="U34" s="453"/>
      <c r="V34" s="741" t="str">
        <f>IF(TITLE_IST_PUB_CHANGE="",IF(TITLE_IST_PUB="","",TITLE_IST_PUB),TITLE_IST_PUB_CHANGE)</f>
        <v/>
      </c>
      <c r="W34" s="741"/>
      <c r="X34" s="741"/>
      <c r="Y34" s="741"/>
      <c r="Z34" s="741"/>
      <c r="AA34" s="741"/>
      <c r="AB34" s="741"/>
      <c r="AC34" s="4"/>
      <c r="AD34" s="741" t="str">
        <f>IF(TITLE_IST_PUB_CHANGE="",IF(TITLE_IST_PUB="","",TITLE_IST_PUB),TITLE_IST_PUB_CHANGE)</f>
        <v/>
      </c>
      <c r="AE34" s="741"/>
      <c r="AF34" s="741"/>
      <c r="AG34" s="741"/>
      <c r="AH34" s="741"/>
      <c r="AI34" s="741"/>
      <c r="AJ34" s="741"/>
      <c r="AK34" s="741"/>
      <c r="AL34" s="741"/>
      <c r="AM34" s="741"/>
      <c r="AN34" s="741"/>
      <c r="AO34" s="741"/>
      <c r="AP34" s="741"/>
      <c r="AQ34" s="741"/>
      <c r="AR34" s="741"/>
      <c r="AS34" s="741"/>
      <c r="AT34" s="741"/>
      <c r="AU34" s="741"/>
      <c r="AV34" s="741"/>
      <c r="AW34" s="741"/>
      <c r="AX34" s="741"/>
      <c r="AY34" s="741"/>
      <c r="AZ34" s="741"/>
      <c r="BA34" s="4"/>
      <c r="BB34" s="4"/>
      <c r="BC34" s="96"/>
      <c r="BD34" s="46"/>
      <c r="BE34" s="46"/>
      <c r="BF34" s="46"/>
      <c r="BG34" s="46"/>
      <c r="BH34" s="46"/>
      <c r="BI34" s="22">
        <v>0</v>
      </c>
    </row>
    <row r="35" spans="1:61" ht="14.25" hidden="1" customHeight="1">
      <c r="Q35" s="97"/>
      <c r="R35" s="19"/>
      <c r="S35" s="6"/>
      <c r="T35" s="6"/>
      <c r="U35" s="6"/>
      <c r="V35" s="109"/>
      <c r="W35" s="109"/>
      <c r="X35" s="109"/>
      <c r="Y35" s="109"/>
      <c r="Z35" s="109"/>
      <c r="AA35" s="109"/>
      <c r="AB35" s="109"/>
      <c r="AC35" s="109"/>
      <c r="AD35" s="109"/>
      <c r="AE35" s="109"/>
      <c r="AF35" s="109"/>
      <c r="AG35" s="109"/>
      <c r="AH35" s="109"/>
      <c r="AI35" s="109"/>
      <c r="AJ35" s="109"/>
      <c r="AK35" s="109"/>
      <c r="AL35" s="109"/>
      <c r="AM35" s="109"/>
      <c r="AN35" s="109"/>
      <c r="AO35" s="109"/>
      <c r="AP35" s="109"/>
      <c r="AQ35" s="109"/>
      <c r="AR35" s="109"/>
      <c r="AS35" s="109"/>
      <c r="AT35" s="109"/>
      <c r="AU35" s="109"/>
      <c r="AV35" s="109"/>
      <c r="AW35" s="109"/>
      <c r="AX35" s="109"/>
      <c r="AY35" s="109"/>
      <c r="AZ35" s="109"/>
      <c r="BA35" s="109"/>
      <c r="BI35" s="4">
        <v>0</v>
      </c>
    </row>
    <row r="36" spans="1:61" s="22" customFormat="1" ht="18.75" hidden="1" customHeight="1">
      <c r="A36" s="43"/>
      <c r="B36" s="43"/>
      <c r="C36" s="43"/>
      <c r="D36" s="43"/>
      <c r="E36" s="43"/>
      <c r="F36" s="43"/>
      <c r="G36" s="43"/>
      <c r="H36" s="43"/>
      <c r="I36" s="43"/>
      <c r="J36" s="43"/>
      <c r="K36" s="43"/>
      <c r="L36" s="43"/>
      <c r="M36" s="43"/>
      <c r="N36" s="43"/>
      <c r="O36" s="43"/>
      <c r="P36" s="43"/>
      <c r="Q36" s="43"/>
      <c r="S36" s="721" t="s">
        <v>426</v>
      </c>
      <c r="T36" s="721"/>
      <c r="U36" s="453"/>
      <c r="V36" s="740" t="str">
        <f>IF(TITLE_DATE_PR_CHANGE="",IF(TITLE_DATE_PR="","",TITLE_DATE_PR),TITLE_DATE_PR_CHANGE)</f>
        <v/>
      </c>
      <c r="W36" s="740"/>
      <c r="X36" s="740"/>
      <c r="Y36" s="740"/>
      <c r="Z36" s="740"/>
      <c r="AA36" s="740"/>
      <c r="AB36" s="740"/>
      <c r="AC36" s="4"/>
      <c r="AD36" s="740" t="str">
        <f>IF(TITLE_DATE_PR_CHANGE="",IF(TITLE_DATE_PR="","",TITLE_DATE_PR),TITLE_DATE_PR_CHANGE)</f>
        <v/>
      </c>
      <c r="AE36" s="740"/>
      <c r="AF36" s="740"/>
      <c r="AG36" s="740"/>
      <c r="AH36" s="740"/>
      <c r="AI36" s="740"/>
      <c r="AJ36" s="740"/>
      <c r="AK36" s="740"/>
      <c r="AL36" s="740"/>
      <c r="AM36" s="740"/>
      <c r="AN36" s="740"/>
      <c r="AO36" s="740"/>
      <c r="AP36" s="740"/>
      <c r="AQ36" s="740"/>
      <c r="AR36" s="740"/>
      <c r="AS36" s="740"/>
      <c r="AT36" s="740"/>
      <c r="AU36" s="740"/>
      <c r="AV36" s="740"/>
      <c r="AW36" s="740"/>
      <c r="AX36" s="740"/>
      <c r="AY36" s="740"/>
      <c r="AZ36" s="740"/>
      <c r="BA36" s="4"/>
      <c r="BB36" s="4"/>
      <c r="BC36" s="96"/>
      <c r="BD36" s="46"/>
      <c r="BE36" s="46"/>
      <c r="BF36" s="46"/>
      <c r="BG36" s="46"/>
      <c r="BH36" s="46"/>
      <c r="BI36" s="22">
        <v>0</v>
      </c>
    </row>
    <row r="37" spans="1:61" s="22" customFormat="1" ht="18.75" hidden="1" customHeight="1">
      <c r="A37" s="43"/>
      <c r="B37" s="43"/>
      <c r="C37" s="43"/>
      <c r="D37" s="43"/>
      <c r="E37" s="43"/>
      <c r="F37" s="43"/>
      <c r="G37" s="43"/>
      <c r="H37" s="43"/>
      <c r="I37" s="43"/>
      <c r="J37" s="43"/>
      <c r="K37" s="43"/>
      <c r="L37" s="43"/>
      <c r="M37" s="43"/>
      <c r="N37" s="43"/>
      <c r="O37" s="43"/>
      <c r="P37" s="43"/>
      <c r="Q37" s="43"/>
      <c r="S37" s="721" t="s">
        <v>427</v>
      </c>
      <c r="T37" s="721"/>
      <c r="U37" s="453"/>
      <c r="V37" s="741" t="str">
        <f>IF(TITLE_NUMBER_PR_CHANGE="",IF(TITLE_NUMBER_PR="","",TITLE_NUMBER_PR),TITLE_NUMBER_PR_CHANGE)</f>
        <v/>
      </c>
      <c r="W37" s="741"/>
      <c r="X37" s="741"/>
      <c r="Y37" s="741"/>
      <c r="Z37" s="741"/>
      <c r="AA37" s="741"/>
      <c r="AB37" s="741"/>
      <c r="AC37" s="4"/>
      <c r="AD37" s="741" t="str">
        <f>IF(TITLE_NUMBER_PR_CHANGE="",IF(TITLE_NUMBER_PR="","",TITLE_NUMBER_PR),TITLE_NUMBER_PR_CHANGE)</f>
        <v/>
      </c>
      <c r="AE37" s="741"/>
      <c r="AF37" s="741"/>
      <c r="AG37" s="741"/>
      <c r="AH37" s="741"/>
      <c r="AI37" s="741"/>
      <c r="AJ37" s="741"/>
      <c r="AK37" s="741"/>
      <c r="AL37" s="741"/>
      <c r="AM37" s="741"/>
      <c r="AN37" s="741"/>
      <c r="AO37" s="741"/>
      <c r="AP37" s="741"/>
      <c r="AQ37" s="741"/>
      <c r="AR37" s="741"/>
      <c r="AS37" s="741"/>
      <c r="AT37" s="741"/>
      <c r="AU37" s="741"/>
      <c r="AV37" s="741"/>
      <c r="AW37" s="741"/>
      <c r="AX37" s="741"/>
      <c r="AY37" s="741"/>
      <c r="AZ37" s="741"/>
      <c r="BA37" s="4"/>
      <c r="BB37" s="4"/>
      <c r="BC37" s="96"/>
      <c r="BD37" s="46"/>
      <c r="BE37" s="46"/>
      <c r="BF37" s="46"/>
      <c r="BG37" s="46"/>
      <c r="BH37" s="46"/>
      <c r="BI37" s="22">
        <v>0</v>
      </c>
    </row>
    <row r="38" spans="1:61" s="22" customFormat="1" ht="0" hidden="1" customHeight="1">
      <c r="A38" s="43"/>
      <c r="B38" s="43"/>
      <c r="C38" s="43"/>
      <c r="D38" s="43"/>
      <c r="E38" s="43"/>
      <c r="F38" s="43"/>
      <c r="G38" s="43"/>
      <c r="H38" s="43"/>
      <c r="I38" s="43"/>
      <c r="J38" s="43"/>
      <c r="K38" s="43"/>
      <c r="L38" s="43"/>
      <c r="M38" s="43"/>
      <c r="N38" s="43"/>
      <c r="O38" s="43"/>
      <c r="P38" s="43"/>
      <c r="Q38" s="43"/>
      <c r="S38" s="4"/>
      <c r="T38" s="4"/>
      <c r="U38" s="4"/>
      <c r="V38" s="4"/>
      <c r="W38" s="4"/>
      <c r="X38" s="4"/>
      <c r="Y38" s="4"/>
      <c r="Z38" s="4"/>
      <c r="AA38" s="4"/>
      <c r="AB38" s="4"/>
      <c r="AC38" s="46" t="s">
        <v>430</v>
      </c>
      <c r="AD38" s="4"/>
      <c r="AE38" s="4"/>
      <c r="AF38" s="4"/>
      <c r="AG38" s="4"/>
      <c r="AH38" s="4"/>
      <c r="AI38" s="4"/>
      <c r="AJ38" s="4"/>
      <c r="AK38" s="4"/>
      <c r="AL38" s="4"/>
      <c r="AM38" s="4"/>
      <c r="AN38" s="4"/>
      <c r="AO38" s="4"/>
      <c r="AP38" s="4"/>
      <c r="AQ38" s="4"/>
      <c r="AR38" s="4"/>
      <c r="AS38" s="4"/>
      <c r="AT38" s="4"/>
      <c r="AU38" s="4"/>
      <c r="AV38" s="4"/>
      <c r="AW38" s="4"/>
      <c r="AX38" s="4"/>
      <c r="AY38" s="4"/>
      <c r="AZ38" s="4"/>
      <c r="BA38" s="46" t="s">
        <v>430</v>
      </c>
      <c r="BD38" s="46"/>
      <c r="BE38" s="46"/>
      <c r="BF38" s="46"/>
      <c r="BG38" s="46"/>
      <c r="BH38" s="46"/>
      <c r="BI38" s="22">
        <v>0</v>
      </c>
    </row>
    <row r="39" spans="1:61" ht="14.65" customHeight="1">
      <c r="Q39" s="97"/>
      <c r="R39" s="19"/>
      <c r="S39" s="6"/>
      <c r="T39" s="6"/>
      <c r="U39" s="420"/>
      <c r="V39" s="755"/>
      <c r="W39" s="755"/>
      <c r="X39" s="755"/>
      <c r="Y39" s="755"/>
      <c r="Z39" s="755"/>
      <c r="AA39" s="755"/>
      <c r="AB39" s="755"/>
      <c r="AC39" s="755"/>
      <c r="AD39" s="755"/>
      <c r="AE39" s="755"/>
      <c r="AF39" s="755"/>
      <c r="AG39" s="755"/>
      <c r="AH39" s="755"/>
      <c r="AI39" s="755"/>
      <c r="AJ39" s="755"/>
      <c r="AK39" s="755"/>
      <c r="AL39" s="755"/>
      <c r="AM39" s="755"/>
      <c r="AN39" s="755"/>
      <c r="AO39" s="755"/>
      <c r="AP39" s="755"/>
      <c r="AQ39" s="755"/>
      <c r="AR39" s="755"/>
      <c r="AS39" s="755"/>
      <c r="AT39" s="755"/>
      <c r="AU39" s="755"/>
      <c r="AV39" s="755"/>
      <c r="AW39" s="755"/>
      <c r="AX39" s="755"/>
      <c r="AY39" s="755"/>
      <c r="AZ39" s="755"/>
      <c r="BA39" s="755"/>
      <c r="BI39" s="4">
        <v>14</v>
      </c>
    </row>
    <row r="40" spans="1:61" ht="14.65" customHeight="1">
      <c r="Q40" s="97"/>
      <c r="R40" s="19"/>
      <c r="S40" s="679" t="s">
        <v>303</v>
      </c>
      <c r="T40" s="679"/>
      <c r="U40" s="679"/>
      <c r="V40" s="679"/>
      <c r="W40" s="679"/>
      <c r="X40" s="679"/>
      <c r="Y40" s="679"/>
      <c r="Z40" s="679"/>
      <c r="AA40" s="679"/>
      <c r="AB40" s="679"/>
      <c r="AC40" s="679"/>
      <c r="AD40" s="679"/>
      <c r="AE40" s="679"/>
      <c r="AF40" s="679"/>
      <c r="AG40" s="679"/>
      <c r="AH40" s="679"/>
      <c r="AI40" s="679"/>
      <c r="AJ40" s="679"/>
      <c r="AK40" s="679"/>
      <c r="AL40" s="679"/>
      <c r="AM40" s="679"/>
      <c r="AN40" s="679"/>
      <c r="AO40" s="679"/>
      <c r="AP40" s="679"/>
      <c r="AQ40" s="679"/>
      <c r="AR40" s="679"/>
      <c r="AS40" s="679"/>
      <c r="AT40" s="679"/>
      <c r="AU40" s="679"/>
      <c r="AV40" s="679"/>
      <c r="AW40" s="679"/>
      <c r="AX40" s="679"/>
      <c r="AY40" s="679"/>
      <c r="AZ40" s="679"/>
      <c r="BA40" s="679"/>
      <c r="BB40" s="679"/>
      <c r="BC40" s="679" t="s">
        <v>304</v>
      </c>
      <c r="BI40" s="4">
        <v>14</v>
      </c>
    </row>
    <row r="41" spans="1:61" ht="14.65" customHeight="1">
      <c r="Q41" s="97"/>
      <c r="R41" s="19"/>
      <c r="S41" s="722" t="s">
        <v>88</v>
      </c>
      <c r="T41" s="722" t="s">
        <v>510</v>
      </c>
      <c r="U41" s="100"/>
      <c r="V41" s="756" t="s">
        <v>432</v>
      </c>
      <c r="W41" s="757"/>
      <c r="X41" s="757"/>
      <c r="Y41" s="757"/>
      <c r="Z41" s="757"/>
      <c r="AA41" s="757"/>
      <c r="AB41" s="758"/>
      <c r="AC41" s="724" t="s">
        <v>433</v>
      </c>
      <c r="AD41" s="777" t="s">
        <v>511</v>
      </c>
      <c r="AE41" s="767"/>
      <c r="AF41" s="767"/>
      <c r="AG41" s="778"/>
      <c r="AH41" s="777" t="s">
        <v>512</v>
      </c>
      <c r="AI41" s="767"/>
      <c r="AJ41" s="767"/>
      <c r="AK41" s="778"/>
      <c r="AL41" s="777" t="s">
        <v>513</v>
      </c>
      <c r="AM41" s="767"/>
      <c r="AN41" s="767"/>
      <c r="AO41" s="778"/>
      <c r="AP41" s="777" t="s">
        <v>514</v>
      </c>
      <c r="AQ41" s="767"/>
      <c r="AR41" s="767"/>
      <c r="AS41" s="778"/>
      <c r="AT41" s="756" t="s">
        <v>432</v>
      </c>
      <c r="AU41" s="757"/>
      <c r="AV41" s="757"/>
      <c r="AW41" s="757"/>
      <c r="AX41" s="757"/>
      <c r="AY41" s="757"/>
      <c r="AZ41" s="758"/>
      <c r="BA41" s="724" t="s">
        <v>433</v>
      </c>
      <c r="BB41" s="759" t="s">
        <v>435</v>
      </c>
      <c r="BC41" s="679"/>
      <c r="BI41" s="4">
        <v>14</v>
      </c>
    </row>
    <row r="42" spans="1:61" ht="35.65" customHeight="1">
      <c r="Q42" s="97"/>
      <c r="R42" s="19"/>
      <c r="S42" s="722"/>
      <c r="T42" s="722"/>
      <c r="U42" s="349"/>
      <c r="V42" s="674" t="s">
        <v>515</v>
      </c>
      <c r="W42" s="672"/>
      <c r="X42" s="674" t="s">
        <v>516</v>
      </c>
      <c r="Y42" s="672"/>
      <c r="Z42" s="674" t="s">
        <v>517</v>
      </c>
      <c r="AA42" s="697"/>
      <c r="AB42" s="672"/>
      <c r="AC42" s="725"/>
      <c r="AD42" s="779"/>
      <c r="AE42" s="780"/>
      <c r="AF42" s="780"/>
      <c r="AG42" s="789"/>
      <c r="AH42" s="779"/>
      <c r="AI42" s="780"/>
      <c r="AJ42" s="780"/>
      <c r="AK42" s="789"/>
      <c r="AL42" s="779"/>
      <c r="AM42" s="780"/>
      <c r="AN42" s="780"/>
      <c r="AO42" s="789"/>
      <c r="AP42" s="779"/>
      <c r="AQ42" s="780"/>
      <c r="AR42" s="780"/>
      <c r="AS42" s="789"/>
      <c r="AT42" s="674" t="s">
        <v>515</v>
      </c>
      <c r="AU42" s="672"/>
      <c r="AV42" s="674" t="s">
        <v>516</v>
      </c>
      <c r="AW42" s="672"/>
      <c r="AX42" s="674" t="s">
        <v>517</v>
      </c>
      <c r="AY42" s="697"/>
      <c r="AZ42" s="672"/>
      <c r="BA42" s="725"/>
      <c r="BB42" s="760"/>
      <c r="BC42" s="679"/>
      <c r="BI42" s="4">
        <v>34</v>
      </c>
    </row>
    <row r="43" spans="1:61" ht="14.65" customHeight="1">
      <c r="Q43" s="97"/>
      <c r="R43" s="19"/>
      <c r="S43" s="722"/>
      <c r="T43" s="722"/>
      <c r="U43" s="349"/>
      <c r="V43" s="677"/>
      <c r="W43" s="675"/>
      <c r="X43" s="677"/>
      <c r="Y43" s="675"/>
      <c r="Z43" s="677"/>
      <c r="AA43" s="712"/>
      <c r="AB43" s="675"/>
      <c r="AC43" s="725"/>
      <c r="AD43" s="779"/>
      <c r="AE43" s="780"/>
      <c r="AF43" s="780"/>
      <c r="AG43" s="789"/>
      <c r="AH43" s="779"/>
      <c r="AI43" s="780"/>
      <c r="AJ43" s="780"/>
      <c r="AK43" s="789"/>
      <c r="AL43" s="779"/>
      <c r="AM43" s="780"/>
      <c r="AN43" s="780"/>
      <c r="AO43" s="789"/>
      <c r="AP43" s="779"/>
      <c r="AQ43" s="780"/>
      <c r="AR43" s="780"/>
      <c r="AS43" s="789"/>
      <c r="AT43" s="677"/>
      <c r="AU43" s="675"/>
      <c r="AV43" s="677"/>
      <c r="AW43" s="675"/>
      <c r="AX43" s="677"/>
      <c r="AY43" s="712"/>
      <c r="AZ43" s="675"/>
      <c r="BA43" s="725"/>
      <c r="BB43" s="760"/>
      <c r="BC43" s="679"/>
      <c r="BI43" s="4">
        <v>14</v>
      </c>
    </row>
    <row r="44" spans="1:61" ht="14.65" customHeight="1">
      <c r="B44" s="43" t="s">
        <v>140</v>
      </c>
      <c r="C44" s="43" t="s">
        <v>141</v>
      </c>
      <c r="D44" s="43" t="s">
        <v>142</v>
      </c>
      <c r="E44" s="43" t="s">
        <v>440</v>
      </c>
      <c r="F44" s="43" t="s">
        <v>441</v>
      </c>
      <c r="G44" s="43" t="s">
        <v>442</v>
      </c>
      <c r="H44" s="43" t="s">
        <v>443</v>
      </c>
      <c r="I44" s="43" t="s">
        <v>444</v>
      </c>
      <c r="J44" s="43" t="s">
        <v>445</v>
      </c>
      <c r="K44" s="43" t="s">
        <v>446</v>
      </c>
      <c r="L44" s="43" t="s">
        <v>421</v>
      </c>
      <c r="Q44" s="97"/>
      <c r="R44" s="19"/>
      <c r="S44" s="722"/>
      <c r="T44" s="722"/>
      <c r="U44" s="101"/>
      <c r="V44" s="24" t="s">
        <v>481</v>
      </c>
      <c r="W44" s="24" t="s">
        <v>482</v>
      </c>
      <c r="X44" s="24" t="s">
        <v>481</v>
      </c>
      <c r="Y44" s="24" t="s">
        <v>482</v>
      </c>
      <c r="Z44" s="27" t="s">
        <v>449</v>
      </c>
      <c r="AA44" s="728" t="s">
        <v>450</v>
      </c>
      <c r="AB44" s="734"/>
      <c r="AC44" s="726"/>
      <c r="AD44" s="781"/>
      <c r="AE44" s="782"/>
      <c r="AF44" s="782"/>
      <c r="AG44" s="783"/>
      <c r="AH44" s="781"/>
      <c r="AI44" s="782"/>
      <c r="AJ44" s="782"/>
      <c r="AK44" s="783"/>
      <c r="AL44" s="781"/>
      <c r="AM44" s="782"/>
      <c r="AN44" s="782"/>
      <c r="AO44" s="783"/>
      <c r="AP44" s="781"/>
      <c r="AQ44" s="782"/>
      <c r="AR44" s="782"/>
      <c r="AS44" s="783"/>
      <c r="AT44" s="24" t="s">
        <v>481</v>
      </c>
      <c r="AU44" s="24" t="s">
        <v>482</v>
      </c>
      <c r="AV44" s="24" t="s">
        <v>481</v>
      </c>
      <c r="AW44" s="24" t="s">
        <v>482</v>
      </c>
      <c r="AX44" s="27" t="s">
        <v>449</v>
      </c>
      <c r="AY44" s="728" t="s">
        <v>450</v>
      </c>
      <c r="AZ44" s="734"/>
      <c r="BA44" s="726"/>
      <c r="BB44" s="761"/>
      <c r="BC44" s="679"/>
      <c r="BI44" s="4">
        <v>14</v>
      </c>
    </row>
    <row r="45" spans="1:61" s="117" customFormat="1" ht="11.25" hidden="1" customHeight="1">
      <c r="A45" s="43"/>
      <c r="B45" s="43"/>
      <c r="C45" s="43"/>
      <c r="D45" s="43"/>
      <c r="E45" s="43"/>
      <c r="F45" s="43"/>
      <c r="G45" s="43"/>
      <c r="H45" s="43"/>
      <c r="I45" s="43"/>
      <c r="J45" s="43"/>
      <c r="K45" s="43"/>
      <c r="L45" s="43"/>
      <c r="M45" s="167"/>
      <c r="N45" s="167"/>
      <c r="O45" s="167"/>
      <c r="P45" s="160"/>
      <c r="Q45" s="424"/>
      <c r="R45" s="424">
        <v>1</v>
      </c>
      <c r="S45" s="425" t="s">
        <v>110</v>
      </c>
      <c r="T45" s="425" t="s">
        <v>111</v>
      </c>
      <c r="U45" s="421" t="str">
        <f ca="1">OFFSET(U45,0,-1)</f>
        <v>2</v>
      </c>
      <c r="V45" s="426">
        <f t="shared" ref="V45:AA45" ca="1" si="2">OFFSET(V45,0,-1)+1</f>
        <v>3</v>
      </c>
      <c r="W45" s="426">
        <f t="shared" ca="1" si="2"/>
        <v>4</v>
      </c>
      <c r="X45" s="426">
        <f t="shared" ca="1" si="2"/>
        <v>5</v>
      </c>
      <c r="Y45" s="426">
        <f t="shared" ca="1" si="2"/>
        <v>6</v>
      </c>
      <c r="Z45" s="426">
        <f t="shared" ca="1" si="2"/>
        <v>7</v>
      </c>
      <c r="AA45" s="754">
        <f t="shared" ca="1" si="2"/>
        <v>8</v>
      </c>
      <c r="AB45" s="754"/>
      <c r="AC45" s="426">
        <f ca="1">OFFSET(AC45,0,-2)+1</f>
        <v>9</v>
      </c>
      <c r="AD45" s="426">
        <f ca="1">OFFSET(AD45,0,-1)+1</f>
        <v>10</v>
      </c>
      <c r="AE45" s="426"/>
      <c r="AF45" s="426"/>
      <c r="AG45" s="426"/>
      <c r="AH45" s="426"/>
      <c r="AI45" s="426"/>
      <c r="AJ45" s="426"/>
      <c r="AK45" s="426"/>
      <c r="AL45" s="426"/>
      <c r="AM45" s="426"/>
      <c r="AN45" s="426"/>
      <c r="AO45" s="426"/>
      <c r="AP45" s="426"/>
      <c r="AQ45" s="426"/>
      <c r="AR45" s="426"/>
      <c r="AS45" s="426"/>
      <c r="AT45" s="426"/>
      <c r="AU45" s="426"/>
      <c r="AV45" s="426"/>
      <c r="AW45" s="426">
        <f ca="1">OFFSET(AW45,0,-1)+1</f>
        <v>1</v>
      </c>
      <c r="AX45" s="426">
        <f ca="1">OFFSET(AX45,0,-1)+1</f>
        <v>2</v>
      </c>
      <c r="AY45" s="754">
        <f ca="1">OFFSET(AY45,0,-1)+1</f>
        <v>3</v>
      </c>
      <c r="AZ45" s="754"/>
      <c r="BA45" s="426">
        <f ca="1">OFFSET(BA45,0,-2)+1</f>
        <v>4</v>
      </c>
      <c r="BB45" s="421">
        <f ca="1">OFFSET(BB45,0,-1)</f>
        <v>4</v>
      </c>
      <c r="BC45" s="426">
        <f ca="1">OFFSET(BC45,0,-1)+1</f>
        <v>5</v>
      </c>
      <c r="BD45" s="46"/>
      <c r="BE45" s="46"/>
      <c r="BF45" s="46"/>
      <c r="BG45" s="46"/>
      <c r="BH45" s="46"/>
      <c r="BI45" s="117">
        <v>0</v>
      </c>
    </row>
    <row r="46" spans="1:61" ht="21.95" customHeight="1">
      <c r="A46" s="43" t="s">
        <v>249</v>
      </c>
      <c r="E46" s="745">
        <v>1</v>
      </c>
      <c r="M46" s="43"/>
      <c r="N46" s="43"/>
      <c r="O46" s="43"/>
      <c r="Q46" s="43"/>
      <c r="R46" s="119"/>
      <c r="S46" s="24">
        <f>INDEX(PT_DIFFERENTIATION_NUM_NTAR,MATCH(A46,PT_DIFFERENTIATION_NTAR_ID,0))</f>
        <v>0</v>
      </c>
      <c r="T46" s="29" t="s">
        <v>128</v>
      </c>
      <c r="U46" s="29"/>
      <c r="V46" s="743"/>
      <c r="W46" s="743"/>
      <c r="X46" s="743"/>
      <c r="Y46" s="743"/>
      <c r="Z46" s="743"/>
      <c r="AA46" s="743"/>
      <c r="AB46" s="743"/>
      <c r="AC46" s="744"/>
      <c r="AD46" s="742" t="str">
        <f>INDEX(PT_DIFFERENTIATION_NTAR,MATCH(A46,PT_DIFFERENTIATION_NTAR_ID,0))</f>
        <v/>
      </c>
      <c r="AE46" s="743"/>
      <c r="AF46" s="743"/>
      <c r="AG46" s="743"/>
      <c r="AH46" s="743"/>
      <c r="AI46" s="743"/>
      <c r="AJ46" s="743"/>
      <c r="AK46" s="743"/>
      <c r="AL46" s="743"/>
      <c r="AM46" s="743"/>
      <c r="AN46" s="743"/>
      <c r="AO46" s="743"/>
      <c r="AP46" s="743"/>
      <c r="AQ46" s="743"/>
      <c r="AR46" s="743"/>
      <c r="AS46" s="743"/>
      <c r="AT46" s="743"/>
      <c r="AU46" s="743"/>
      <c r="AV46" s="743"/>
      <c r="AW46" s="743"/>
      <c r="AX46" s="743"/>
      <c r="AY46" s="743"/>
      <c r="AZ46" s="743"/>
      <c r="BA46" s="743"/>
      <c r="BB46" s="744"/>
      <c r="BC46" s="4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F46" s="46" t="str">
        <f t="shared" ref="BF46:BF52" si="3">IF(T46="","",T46)</f>
        <v>Наименование тарифа</v>
      </c>
      <c r="BI46" s="4">
        <v>21</v>
      </c>
    </row>
    <row r="47" spans="1:61" ht="21.95" customHeight="1">
      <c r="A47" s="43" t="s">
        <v>249</v>
      </c>
      <c r="B47" s="43" t="s">
        <v>250</v>
      </c>
      <c r="E47" s="747"/>
      <c r="F47" s="745">
        <v>1</v>
      </c>
      <c r="M47" s="43"/>
      <c r="N47" s="43"/>
      <c r="O47" s="43"/>
      <c r="P47" s="43"/>
      <c r="Q47" s="468"/>
      <c r="R47" s="119"/>
      <c r="S47" s="24" t="str">
        <f>INDEX(PT_DIFFERENTIATION_NUM_TER,MATCH(B47,PT_DIFFERENTIATION_TER_ID,0))</f>
        <v>.</v>
      </c>
      <c r="T47" s="24" t="s">
        <v>400</v>
      </c>
      <c r="U47" s="29"/>
      <c r="V47" s="743"/>
      <c r="W47" s="743"/>
      <c r="X47" s="743"/>
      <c r="Y47" s="743"/>
      <c r="Z47" s="743"/>
      <c r="AA47" s="743"/>
      <c r="AB47" s="743"/>
      <c r="AC47" s="744"/>
      <c r="AD47" s="742" t="str">
        <f>INDEX(PT_DIFFERENTIATION_TER,MATCH(B47,PT_DIFFERENTIATION_TER_ID,0))</f>
        <v/>
      </c>
      <c r="AE47" s="743"/>
      <c r="AF47" s="743"/>
      <c r="AG47" s="743"/>
      <c r="AH47" s="743"/>
      <c r="AI47" s="743"/>
      <c r="AJ47" s="743"/>
      <c r="AK47" s="743"/>
      <c r="AL47" s="743"/>
      <c r="AM47" s="743"/>
      <c r="AN47" s="743"/>
      <c r="AO47" s="743"/>
      <c r="AP47" s="743"/>
      <c r="AQ47" s="743"/>
      <c r="AR47" s="743"/>
      <c r="AS47" s="743"/>
      <c r="AT47" s="743"/>
      <c r="AU47" s="743"/>
      <c r="AV47" s="743"/>
      <c r="AW47" s="743"/>
      <c r="AX47" s="743"/>
      <c r="AY47" s="743"/>
      <c r="AZ47" s="743"/>
      <c r="BA47" s="743"/>
      <c r="BB47" s="744"/>
      <c r="BC47" s="428" t="s">
        <v>401</v>
      </c>
      <c r="BF47" s="46" t="str">
        <f t="shared" si="3"/>
        <v>Территория действия тарифа</v>
      </c>
      <c r="BI47" s="4">
        <v>21</v>
      </c>
    </row>
    <row r="48" spans="1:61" ht="43.15" customHeight="1">
      <c r="A48" s="43" t="s">
        <v>249</v>
      </c>
      <c r="B48" s="43" t="s">
        <v>250</v>
      </c>
      <c r="C48" s="43" t="s">
        <v>251</v>
      </c>
      <c r="E48" s="747"/>
      <c r="F48" s="747"/>
      <c r="G48" s="745">
        <v>1</v>
      </c>
      <c r="M48" s="43"/>
      <c r="N48" s="43"/>
      <c r="O48" s="43"/>
      <c r="P48" s="79"/>
      <c r="Q48" s="468"/>
      <c r="R48" s="119"/>
      <c r="S48" s="24" t="str">
        <f>INDEX(PT_DIFFERENTIATION_NUM_CS,MATCH(C48,PT_DIFFERENTIATION_CS_ID,0))</f>
        <v>..</v>
      </c>
      <c r="T48" s="24" t="s">
        <v>484</v>
      </c>
      <c r="U48" s="29"/>
      <c r="V48" s="743"/>
      <c r="W48" s="743"/>
      <c r="X48" s="743"/>
      <c r="Y48" s="743"/>
      <c r="Z48" s="743"/>
      <c r="AA48" s="743"/>
      <c r="AB48" s="743"/>
      <c r="AC48" s="744"/>
      <c r="AD48" s="742" t="str">
        <f>INDEX(PT_DIFFERENTIATION_CS,MATCH(C48,PT_DIFFERENTIATION_CS_ID,0))</f>
        <v/>
      </c>
      <c r="AE48" s="743"/>
      <c r="AF48" s="743"/>
      <c r="AG48" s="743"/>
      <c r="AH48" s="743"/>
      <c r="AI48" s="743"/>
      <c r="AJ48" s="743"/>
      <c r="AK48" s="743"/>
      <c r="AL48" s="743"/>
      <c r="AM48" s="743"/>
      <c r="AN48" s="743"/>
      <c r="AO48" s="743"/>
      <c r="AP48" s="743"/>
      <c r="AQ48" s="743"/>
      <c r="AR48" s="743"/>
      <c r="AS48" s="743"/>
      <c r="AT48" s="743"/>
      <c r="AU48" s="743"/>
      <c r="AV48" s="743"/>
      <c r="AW48" s="743"/>
      <c r="AX48" s="743"/>
      <c r="AY48" s="743"/>
      <c r="AZ48" s="743"/>
      <c r="BA48" s="743"/>
      <c r="BB48" s="744"/>
      <c r="BC48" s="428" t="s">
        <v>485</v>
      </c>
      <c r="BF48" s="46" t="str">
        <f t="shared" si="3"/>
        <v>Наименование централизованной системы холодного водоснабжения</v>
      </c>
      <c r="BI48" s="4">
        <v>41</v>
      </c>
    </row>
    <row r="49" spans="1:61" s="46" customFormat="1" ht="0" hidden="1" customHeight="1">
      <c r="A49" s="46" t="s">
        <v>249</v>
      </c>
      <c r="B49" s="46" t="s">
        <v>250</v>
      </c>
      <c r="C49" s="46" t="s">
        <v>251</v>
      </c>
      <c r="D49" s="46" t="s">
        <v>518</v>
      </c>
      <c r="E49" s="747"/>
      <c r="F49" s="747"/>
      <c r="G49" s="747"/>
      <c r="H49" s="745">
        <v>1</v>
      </c>
      <c r="P49" s="478"/>
      <c r="Q49" s="479"/>
      <c r="R49" s="120"/>
      <c r="S49" s="174"/>
      <c r="T49" s="294"/>
      <c r="U49" s="174"/>
      <c r="V49" s="769"/>
      <c r="W49" s="769"/>
      <c r="X49" s="769"/>
      <c r="Y49" s="769"/>
      <c r="Z49" s="769"/>
      <c r="AA49" s="769"/>
      <c r="AB49" s="769"/>
      <c r="AC49" s="770"/>
      <c r="AD49" s="768"/>
      <c r="AE49" s="769"/>
      <c r="AF49" s="769"/>
      <c r="AG49" s="769"/>
      <c r="AH49" s="769"/>
      <c r="AI49" s="769"/>
      <c r="AJ49" s="769"/>
      <c r="AK49" s="769"/>
      <c r="AL49" s="769"/>
      <c r="AM49" s="769"/>
      <c r="AN49" s="769"/>
      <c r="AO49" s="769"/>
      <c r="AP49" s="769"/>
      <c r="AQ49" s="769"/>
      <c r="AR49" s="769"/>
      <c r="AS49" s="769"/>
      <c r="AT49" s="769"/>
      <c r="AU49" s="769"/>
      <c r="AV49" s="769"/>
      <c r="AW49" s="769"/>
      <c r="AX49" s="769"/>
      <c r="AY49" s="769"/>
      <c r="AZ49" s="769"/>
      <c r="BA49" s="769"/>
      <c r="BB49" s="770"/>
      <c r="BC49" s="174" t="s">
        <v>405</v>
      </c>
      <c r="BF49" s="46" t="str">
        <f t="shared" si="3"/>
        <v/>
      </c>
      <c r="BI49" s="46">
        <v>0</v>
      </c>
    </row>
    <row r="50" spans="1:61" s="46" customFormat="1" ht="0" hidden="1" customHeight="1">
      <c r="A50" s="46" t="s">
        <v>249</v>
      </c>
      <c r="B50" s="46" t="s">
        <v>250</v>
      </c>
      <c r="C50" s="46" t="s">
        <v>251</v>
      </c>
      <c r="D50" s="46" t="s">
        <v>518</v>
      </c>
      <c r="E50" s="747"/>
      <c r="F50" s="747"/>
      <c r="G50" s="747"/>
      <c r="H50" s="747"/>
      <c r="I50" s="745" t="str">
        <f>S49&amp;".1"</f>
        <v>.1</v>
      </c>
      <c r="L50" s="46" t="s">
        <v>406</v>
      </c>
      <c r="M50" s="160"/>
      <c r="N50" s="160"/>
      <c r="O50" s="160"/>
      <c r="P50" s="748">
        <v>1</v>
      </c>
      <c r="R50" s="120"/>
      <c r="S50" s="174"/>
      <c r="T50" s="174"/>
      <c r="U50" s="174"/>
      <c r="V50" s="769"/>
      <c r="W50" s="769"/>
      <c r="X50" s="769"/>
      <c r="Y50" s="769"/>
      <c r="Z50" s="769"/>
      <c r="AA50" s="769"/>
      <c r="AB50" s="769"/>
      <c r="AC50" s="770"/>
      <c r="AD50" s="768"/>
      <c r="AE50" s="769"/>
      <c r="AF50" s="769"/>
      <c r="AG50" s="769"/>
      <c r="AH50" s="769"/>
      <c r="AI50" s="769"/>
      <c r="AJ50" s="769"/>
      <c r="AK50" s="769"/>
      <c r="AL50" s="769"/>
      <c r="AM50" s="769"/>
      <c r="AN50" s="769"/>
      <c r="AO50" s="769"/>
      <c r="AP50" s="769"/>
      <c r="AQ50" s="769"/>
      <c r="AR50" s="769"/>
      <c r="AS50" s="769"/>
      <c r="AT50" s="769"/>
      <c r="AU50" s="769"/>
      <c r="AV50" s="769"/>
      <c r="AW50" s="769"/>
      <c r="AX50" s="769"/>
      <c r="AY50" s="769"/>
      <c r="AZ50" s="769"/>
      <c r="BA50" s="769"/>
      <c r="BB50" s="770"/>
      <c r="BC50" s="174"/>
      <c r="BF50" s="46" t="str">
        <f t="shared" si="3"/>
        <v/>
      </c>
      <c r="BI50" s="46">
        <v>0</v>
      </c>
    </row>
    <row r="51" spans="1:61" s="46" customFormat="1" ht="0" hidden="1" customHeight="1">
      <c r="A51" s="46" t="s">
        <v>249</v>
      </c>
      <c r="B51" s="46" t="s">
        <v>250</v>
      </c>
      <c r="C51" s="46" t="s">
        <v>251</v>
      </c>
      <c r="D51" s="46" t="s">
        <v>518</v>
      </c>
      <c r="E51" s="747"/>
      <c r="F51" s="747"/>
      <c r="G51" s="747"/>
      <c r="H51" s="747"/>
      <c r="I51" s="747"/>
      <c r="J51" s="745" t="str">
        <f>S49&amp;".1"</f>
        <v>.1</v>
      </c>
      <c r="M51" s="160"/>
      <c r="N51" s="160"/>
      <c r="O51" s="160"/>
      <c r="P51" s="748"/>
      <c r="Q51" s="748">
        <v>1</v>
      </c>
      <c r="R51" s="120"/>
      <c r="S51" s="174"/>
      <c r="T51" s="174"/>
      <c r="U51" s="174"/>
      <c r="V51" s="769"/>
      <c r="W51" s="769"/>
      <c r="X51" s="769"/>
      <c r="Y51" s="769"/>
      <c r="Z51" s="769"/>
      <c r="AA51" s="769"/>
      <c r="AB51" s="769"/>
      <c r="AC51" s="770"/>
      <c r="AD51" s="768"/>
      <c r="AE51" s="769"/>
      <c r="AF51" s="769"/>
      <c r="AG51" s="769"/>
      <c r="AH51" s="769"/>
      <c r="AI51" s="769"/>
      <c r="AJ51" s="769"/>
      <c r="AK51" s="769"/>
      <c r="AL51" s="769"/>
      <c r="AM51" s="769"/>
      <c r="AN51" s="803"/>
      <c r="AO51" s="803"/>
      <c r="AP51" s="769"/>
      <c r="AQ51" s="769"/>
      <c r="AR51" s="769"/>
      <c r="AS51" s="769"/>
      <c r="AT51" s="769"/>
      <c r="AU51" s="769"/>
      <c r="AV51" s="769"/>
      <c r="AW51" s="769"/>
      <c r="AX51" s="769"/>
      <c r="AY51" s="769"/>
      <c r="AZ51" s="769"/>
      <c r="BA51" s="769"/>
      <c r="BB51" s="770"/>
      <c r="BC51" s="174"/>
      <c r="BF51" s="46" t="str">
        <f t="shared" si="3"/>
        <v/>
      </c>
      <c r="BI51" s="46">
        <v>0</v>
      </c>
    </row>
    <row r="52" spans="1:61" ht="11.45" customHeight="1">
      <c r="A52" s="43" t="s">
        <v>249</v>
      </c>
      <c r="B52" s="43" t="s">
        <v>250</v>
      </c>
      <c r="C52" s="43" t="s">
        <v>251</v>
      </c>
      <c r="D52" s="43" t="s">
        <v>518</v>
      </c>
      <c r="E52" s="747"/>
      <c r="F52" s="747"/>
      <c r="G52" s="747"/>
      <c r="H52" s="747"/>
      <c r="I52" s="747"/>
      <c r="J52" s="747"/>
      <c r="K52" s="745" t="str">
        <f>S48&amp;".1"</f>
        <v>...1</v>
      </c>
      <c r="P52" s="748"/>
      <c r="Q52" s="748"/>
      <c r="R52" s="120">
        <v>1</v>
      </c>
      <c r="S52" s="724" t="str">
        <f>$K52</f>
        <v>...1</v>
      </c>
      <c r="T52" s="799"/>
      <c r="U52" s="29"/>
      <c r="V52" s="168"/>
      <c r="W52" s="427"/>
      <c r="X52" s="168"/>
      <c r="Y52" s="427"/>
      <c r="Z52" s="544"/>
      <c r="AA52" s="69" t="s">
        <v>66</v>
      </c>
      <c r="AB52" s="544"/>
      <c r="AC52" s="69" t="s">
        <v>66</v>
      </c>
      <c r="AD52" s="686" t="s">
        <v>66</v>
      </c>
      <c r="AE52" s="784"/>
      <c r="AF52" s="722">
        <v>1</v>
      </c>
      <c r="AG52" s="798"/>
      <c r="AH52" s="688" t="s">
        <v>66</v>
      </c>
      <c r="AI52" s="784"/>
      <c r="AJ52" s="722">
        <v>1</v>
      </c>
      <c r="AK52" s="688" t="s">
        <v>22</v>
      </c>
      <c r="AL52" s="688" t="s">
        <v>66</v>
      </c>
      <c r="AM52" s="674"/>
      <c r="AN52" s="722">
        <v>1</v>
      </c>
      <c r="AO52" s="798"/>
      <c r="AP52" s="776" t="s">
        <v>66</v>
      </c>
      <c r="AQ52" s="29"/>
      <c r="AR52" s="148">
        <v>1</v>
      </c>
      <c r="AS52" s="74" t="s">
        <v>22</v>
      </c>
      <c r="AT52" s="168"/>
      <c r="AU52" s="427"/>
      <c r="AV52" s="168"/>
      <c r="AW52" s="427"/>
      <c r="AX52" s="544"/>
      <c r="AY52" s="69" t="s">
        <v>66</v>
      </c>
      <c r="AZ52" s="544"/>
      <c r="BA52" s="69" t="s">
        <v>66</v>
      </c>
      <c r="BB52" s="345"/>
      <c r="BC52" s="762" t="s">
        <v>504</v>
      </c>
      <c r="BF52" s="46" t="str">
        <f t="shared" si="3"/>
        <v/>
      </c>
      <c r="BI52" s="4">
        <v>11</v>
      </c>
    </row>
    <row r="53" spans="1:61" ht="11.45" customHeight="1">
      <c r="E53" s="747"/>
      <c r="F53" s="747"/>
      <c r="G53" s="747"/>
      <c r="H53" s="747"/>
      <c r="I53" s="747"/>
      <c r="J53" s="747"/>
      <c r="K53" s="745"/>
      <c r="P53" s="748"/>
      <c r="Q53" s="748"/>
      <c r="R53" s="120"/>
      <c r="S53" s="725"/>
      <c r="T53" s="800"/>
      <c r="U53" s="29"/>
      <c r="V53" s="457"/>
      <c r="W53" s="477"/>
      <c r="X53" s="457"/>
      <c r="Y53" s="477"/>
      <c r="Z53" s="457"/>
      <c r="AA53" s="457"/>
      <c r="AB53" s="457"/>
      <c r="AC53" s="457"/>
      <c r="AD53" s="689"/>
      <c r="AE53" s="784"/>
      <c r="AF53" s="722"/>
      <c r="AG53" s="798"/>
      <c r="AH53" s="688"/>
      <c r="AI53" s="784"/>
      <c r="AJ53" s="722"/>
      <c r="AK53" s="688"/>
      <c r="AL53" s="688"/>
      <c r="AM53" s="677"/>
      <c r="AN53" s="722"/>
      <c r="AO53" s="798"/>
      <c r="AP53" s="802"/>
      <c r="AQ53" s="98"/>
      <c r="AR53" s="37"/>
      <c r="AS53" s="37" t="s">
        <v>505</v>
      </c>
      <c r="AT53" s="457"/>
      <c r="AU53" s="477"/>
      <c r="AV53" s="457"/>
      <c r="AW53" s="477"/>
      <c r="AX53" s="457"/>
      <c r="AY53" s="457"/>
      <c r="AZ53" s="457"/>
      <c r="BA53" s="457"/>
      <c r="BB53" s="461"/>
      <c r="BC53" s="763"/>
      <c r="BI53" s="4">
        <v>11</v>
      </c>
    </row>
    <row r="54" spans="1:61" ht="11.45" customHeight="1">
      <c r="A54" s="43" t="s">
        <v>249</v>
      </c>
      <c r="E54" s="747"/>
      <c r="F54" s="747"/>
      <c r="G54" s="747"/>
      <c r="H54" s="747"/>
      <c r="I54" s="747"/>
      <c r="J54" s="747"/>
      <c r="K54" s="745"/>
      <c r="P54" s="748"/>
      <c r="Q54" s="748"/>
      <c r="R54" s="120"/>
      <c r="S54" s="725"/>
      <c r="T54" s="800"/>
      <c r="U54" s="29"/>
      <c r="V54" s="457"/>
      <c r="W54" s="477"/>
      <c r="X54" s="457"/>
      <c r="Y54" s="477"/>
      <c r="Z54" s="457"/>
      <c r="AA54" s="457"/>
      <c r="AB54" s="457"/>
      <c r="AC54" s="457"/>
      <c r="AD54" s="689"/>
      <c r="AE54" s="784"/>
      <c r="AF54" s="722"/>
      <c r="AG54" s="798"/>
      <c r="AH54" s="688"/>
      <c r="AI54" s="784"/>
      <c r="AJ54" s="722"/>
      <c r="AK54" s="688"/>
      <c r="AL54" s="688"/>
      <c r="AM54" s="98"/>
      <c r="AN54" s="130"/>
      <c r="AO54" s="130" t="s">
        <v>506</v>
      </c>
      <c r="AP54" s="37"/>
      <c r="AQ54" s="37"/>
      <c r="AR54" s="37"/>
      <c r="AS54" s="457"/>
      <c r="AT54" s="457"/>
      <c r="AU54" s="477"/>
      <c r="AV54" s="457"/>
      <c r="AW54" s="477"/>
      <c r="AX54" s="457"/>
      <c r="AY54" s="457"/>
      <c r="AZ54" s="457"/>
      <c r="BA54" s="457"/>
      <c r="BB54" s="461"/>
      <c r="BC54" s="763"/>
      <c r="BI54" s="4">
        <v>11</v>
      </c>
    </row>
    <row r="55" spans="1:61" ht="11.45" customHeight="1">
      <c r="A55" s="43" t="s">
        <v>249</v>
      </c>
      <c r="E55" s="747"/>
      <c r="F55" s="747"/>
      <c r="G55" s="747"/>
      <c r="H55" s="747"/>
      <c r="I55" s="747"/>
      <c r="J55" s="747"/>
      <c r="K55" s="745"/>
      <c r="P55" s="748"/>
      <c r="Q55" s="748"/>
      <c r="R55" s="120"/>
      <c r="S55" s="725"/>
      <c r="T55" s="800"/>
      <c r="U55" s="29"/>
      <c r="V55" s="457"/>
      <c r="W55" s="477"/>
      <c r="X55" s="457"/>
      <c r="Y55" s="477"/>
      <c r="Z55" s="457"/>
      <c r="AA55" s="457"/>
      <c r="AB55" s="457"/>
      <c r="AC55" s="457"/>
      <c r="AD55" s="689"/>
      <c r="AE55" s="784"/>
      <c r="AF55" s="722"/>
      <c r="AG55" s="798"/>
      <c r="AH55" s="688"/>
      <c r="AI55" s="98"/>
      <c r="AJ55" s="37"/>
      <c r="AK55" s="37" t="s">
        <v>507</v>
      </c>
      <c r="AL55" s="457"/>
      <c r="AM55" s="457"/>
      <c r="AN55" s="457"/>
      <c r="AO55" s="457"/>
      <c r="AP55" s="457"/>
      <c r="AQ55" s="457"/>
      <c r="AR55" s="457"/>
      <c r="AS55" s="457"/>
      <c r="AT55" s="457"/>
      <c r="AU55" s="477"/>
      <c r="AV55" s="457"/>
      <c r="AW55" s="477"/>
      <c r="AX55" s="457"/>
      <c r="AY55" s="457"/>
      <c r="AZ55" s="457"/>
      <c r="BA55" s="457"/>
      <c r="BB55" s="461"/>
      <c r="BC55" s="763"/>
      <c r="BI55" s="4">
        <v>11</v>
      </c>
    </row>
    <row r="56" spans="1:61" ht="11.45" customHeight="1">
      <c r="A56" s="43" t="s">
        <v>249</v>
      </c>
      <c r="B56" s="43" t="s">
        <v>250</v>
      </c>
      <c r="C56" s="43" t="s">
        <v>251</v>
      </c>
      <c r="D56" s="43" t="s">
        <v>518</v>
      </c>
      <c r="E56" s="747"/>
      <c r="F56" s="747"/>
      <c r="G56" s="747"/>
      <c r="H56" s="747"/>
      <c r="I56" s="747"/>
      <c r="J56" s="747"/>
      <c r="K56" s="745"/>
      <c r="P56" s="748"/>
      <c r="Q56" s="748"/>
      <c r="R56" s="120"/>
      <c r="S56" s="726"/>
      <c r="T56" s="801"/>
      <c r="U56" s="29"/>
      <c r="V56" s="457"/>
      <c r="W56" s="458" t="str">
        <f>Z52&amp;"-"&amp;AB52</f>
        <v>-</v>
      </c>
      <c r="X56" s="457"/>
      <c r="Y56" s="458" t="str">
        <f>AB52&amp;"-"&amp;AD52</f>
        <v>-да</v>
      </c>
      <c r="Z56" s="457"/>
      <c r="AA56" s="457"/>
      <c r="AB56" s="457"/>
      <c r="AC56" s="457"/>
      <c r="AD56" s="687"/>
      <c r="AE56" s="98"/>
      <c r="AF56" s="37"/>
      <c r="AG56" s="37" t="s">
        <v>508</v>
      </c>
      <c r="AH56" s="457"/>
      <c r="AI56" s="457"/>
      <c r="AJ56" s="457"/>
      <c r="AK56" s="457"/>
      <c r="AL56" s="457"/>
      <c r="AM56" s="457"/>
      <c r="AN56" s="457"/>
      <c r="AO56" s="457"/>
      <c r="AP56" s="457"/>
      <c r="AQ56" s="457"/>
      <c r="AR56" s="457"/>
      <c r="AS56" s="457"/>
      <c r="AT56" s="457"/>
      <c r="AU56" s="458" t="str">
        <f>AX52&amp;"-"&amp;AZ52</f>
        <v>-</v>
      </c>
      <c r="AV56" s="457"/>
      <c r="AW56" s="458" t="str">
        <f>AZ52&amp;"-"&amp;BB52</f>
        <v>-</v>
      </c>
      <c r="AX56" s="457"/>
      <c r="AY56" s="457"/>
      <c r="AZ56" s="457"/>
      <c r="BA56" s="457"/>
      <c r="BB56" s="460" t="str">
        <f>BE52&amp;"-"&amp;BG52</f>
        <v>-</v>
      </c>
      <c r="BC56" s="763"/>
      <c r="BF56" s="46" t="str">
        <f t="shared" ref="BF56:BF63" si="4">IF(T56="","",T56)</f>
        <v/>
      </c>
      <c r="BI56" s="4">
        <v>11</v>
      </c>
    </row>
    <row r="57" spans="1:61" ht="11.45" customHeight="1">
      <c r="A57" s="43" t="s">
        <v>249</v>
      </c>
      <c r="B57" s="43" t="s">
        <v>250</v>
      </c>
      <c r="C57" s="43" t="s">
        <v>251</v>
      </c>
      <c r="D57" s="43" t="s">
        <v>518</v>
      </c>
      <c r="E57" s="747"/>
      <c r="F57" s="747"/>
      <c r="G57" s="747"/>
      <c r="H57" s="747"/>
      <c r="I57" s="747"/>
      <c r="J57" s="745"/>
      <c r="P57" s="748"/>
      <c r="Q57" s="748"/>
      <c r="R57" s="120"/>
      <c r="S57" s="434"/>
      <c r="T57" s="37" t="s">
        <v>471</v>
      </c>
      <c r="U57" s="58"/>
      <c r="V57" s="58"/>
      <c r="W57" s="58"/>
      <c r="X57" s="58"/>
      <c r="Y57" s="58"/>
      <c r="Z57" s="58"/>
      <c r="AA57" s="58"/>
      <c r="AB57" s="58"/>
      <c r="AC57" s="59"/>
      <c r="AD57" s="184"/>
      <c r="AE57" s="58"/>
      <c r="AF57" s="58"/>
      <c r="AG57" s="58"/>
      <c r="AH57" s="58"/>
      <c r="AI57" s="58"/>
      <c r="AJ57" s="58"/>
      <c r="AK57" s="58"/>
      <c r="AL57" s="58"/>
      <c r="AM57" s="58"/>
      <c r="AN57" s="58"/>
      <c r="AO57" s="58"/>
      <c r="AP57" s="58"/>
      <c r="AQ57" s="58"/>
      <c r="AR57" s="58"/>
      <c r="AS57" s="58"/>
      <c r="AT57" s="58"/>
      <c r="AU57" s="58"/>
      <c r="AV57" s="58"/>
      <c r="AW57" s="58"/>
      <c r="AX57" s="58"/>
      <c r="AY57" s="58"/>
      <c r="AZ57" s="58"/>
      <c r="BA57" s="58"/>
      <c r="BB57" s="59"/>
      <c r="BC57" s="764"/>
      <c r="BF57" s="46" t="str">
        <f t="shared" si="4"/>
        <v>Добавить строку</v>
      </c>
      <c r="BI57" s="4">
        <v>11</v>
      </c>
    </row>
    <row r="58" spans="1:61" s="46" customFormat="1" ht="0" hidden="1" customHeight="1">
      <c r="A58" s="46" t="s">
        <v>249</v>
      </c>
      <c r="B58" s="46" t="s">
        <v>250</v>
      </c>
      <c r="C58" s="46" t="s">
        <v>251</v>
      </c>
      <c r="D58" s="46" t="s">
        <v>518</v>
      </c>
      <c r="E58" s="747"/>
      <c r="F58" s="747"/>
      <c r="G58" s="747"/>
      <c r="H58" s="747"/>
      <c r="I58" s="745"/>
      <c r="M58" s="160"/>
      <c r="N58" s="160"/>
      <c r="O58" s="160"/>
      <c r="P58" s="748"/>
      <c r="R58" s="120"/>
      <c r="S58" s="455"/>
      <c r="T58" s="354"/>
      <c r="U58" s="354"/>
      <c r="V58" s="354"/>
      <c r="W58" s="354"/>
      <c r="X58" s="354"/>
      <c r="Y58" s="354"/>
      <c r="Z58" s="354"/>
      <c r="AA58" s="354"/>
      <c r="AB58" s="354"/>
      <c r="AC58" s="354"/>
      <c r="AD58" s="354"/>
      <c r="AE58" s="354"/>
      <c r="AF58" s="354"/>
      <c r="AG58" s="354"/>
      <c r="AH58" s="354"/>
      <c r="AI58" s="354"/>
      <c r="AJ58" s="354"/>
      <c r="AK58" s="354"/>
      <c r="AL58" s="354"/>
      <c r="AM58" s="354"/>
      <c r="AN58" s="354"/>
      <c r="AO58" s="354"/>
      <c r="AP58" s="354"/>
      <c r="AQ58" s="354"/>
      <c r="AR58" s="354"/>
      <c r="AS58" s="354"/>
      <c r="AT58" s="354"/>
      <c r="AU58" s="354"/>
      <c r="AV58" s="354"/>
      <c r="AW58" s="354"/>
      <c r="AX58" s="354"/>
      <c r="AY58" s="354"/>
      <c r="AZ58" s="354"/>
      <c r="BA58" s="354"/>
      <c r="BB58" s="354"/>
      <c r="BC58" s="314"/>
      <c r="BF58" s="46" t="str">
        <f t="shared" si="4"/>
        <v/>
      </c>
      <c r="BI58" s="46">
        <v>0</v>
      </c>
    </row>
    <row r="59" spans="1:61" s="46" customFormat="1" ht="0" hidden="1" customHeight="1">
      <c r="A59" s="46" t="s">
        <v>249</v>
      </c>
      <c r="B59" s="46" t="s">
        <v>250</v>
      </c>
      <c r="C59" s="46" t="s">
        <v>251</v>
      </c>
      <c r="D59" s="46" t="s">
        <v>518</v>
      </c>
      <c r="E59" s="747"/>
      <c r="F59" s="747"/>
      <c r="G59" s="747"/>
      <c r="H59" s="745"/>
      <c r="Q59" s="446"/>
      <c r="R59" s="120"/>
      <c r="S59" s="455"/>
      <c r="T59" s="354"/>
      <c r="U59" s="354"/>
      <c r="V59" s="354"/>
      <c r="W59" s="354"/>
      <c r="X59" s="354"/>
      <c r="Y59" s="354"/>
      <c r="Z59" s="354"/>
      <c r="AA59" s="354"/>
      <c r="AB59" s="354"/>
      <c r="AC59" s="354"/>
      <c r="AD59" s="354"/>
      <c r="AE59" s="354"/>
      <c r="AF59" s="354"/>
      <c r="AG59" s="354"/>
      <c r="AH59" s="354"/>
      <c r="AI59" s="354"/>
      <c r="AJ59" s="354"/>
      <c r="AK59" s="354"/>
      <c r="AL59" s="354"/>
      <c r="AM59" s="354"/>
      <c r="AN59" s="354"/>
      <c r="AO59" s="354"/>
      <c r="AP59" s="354"/>
      <c r="AQ59" s="354"/>
      <c r="AR59" s="354"/>
      <c r="AS59" s="354"/>
      <c r="AT59" s="354"/>
      <c r="AU59" s="354"/>
      <c r="AV59" s="354"/>
      <c r="AW59" s="354"/>
      <c r="AX59" s="354"/>
      <c r="AY59" s="354"/>
      <c r="AZ59" s="354"/>
      <c r="BA59" s="354"/>
      <c r="BB59" s="354"/>
      <c r="BC59" s="314"/>
      <c r="BF59" s="46" t="str">
        <f t="shared" si="4"/>
        <v/>
      </c>
      <c r="BI59" s="46">
        <v>0</v>
      </c>
    </row>
    <row r="60" spans="1:61" s="46" customFormat="1" ht="0" hidden="1" customHeight="1">
      <c r="A60" s="46" t="s">
        <v>249</v>
      </c>
      <c r="B60" s="46" t="s">
        <v>250</v>
      </c>
      <c r="C60" s="46" t="s">
        <v>251</v>
      </c>
      <c r="E60" s="747"/>
      <c r="F60" s="747"/>
      <c r="G60" s="745"/>
      <c r="Q60" s="446"/>
      <c r="S60" s="449"/>
      <c r="T60" s="160"/>
      <c r="U60" s="160"/>
      <c r="V60" s="160"/>
      <c r="W60" s="160"/>
      <c r="X60" s="160"/>
      <c r="Y60" s="160"/>
      <c r="Z60" s="160"/>
      <c r="AA60" s="160"/>
      <c r="AB60" s="160"/>
      <c r="AC60" s="160"/>
      <c r="AD60" s="160"/>
      <c r="AE60" s="160"/>
      <c r="AF60" s="160"/>
      <c r="AG60" s="160"/>
      <c r="AH60" s="160"/>
      <c r="AI60" s="160"/>
      <c r="AJ60" s="160"/>
      <c r="AK60" s="160"/>
      <c r="AL60" s="160"/>
      <c r="AM60" s="160"/>
      <c r="AN60" s="160"/>
      <c r="AO60" s="160"/>
      <c r="AP60" s="160"/>
      <c r="AQ60" s="160"/>
      <c r="AR60" s="160"/>
      <c r="AS60" s="160"/>
      <c r="AT60" s="160"/>
      <c r="AU60" s="160"/>
      <c r="AV60" s="160"/>
      <c r="AW60" s="160"/>
      <c r="AX60" s="160"/>
      <c r="AY60" s="160"/>
      <c r="AZ60" s="160"/>
      <c r="BA60" s="160"/>
      <c r="BB60" s="160"/>
      <c r="BC60" s="160"/>
      <c r="BF60" s="46" t="str">
        <f t="shared" si="4"/>
        <v/>
      </c>
      <c r="BI60" s="46">
        <v>0</v>
      </c>
    </row>
    <row r="61" spans="1:61" s="46" customFormat="1" ht="0" hidden="1" customHeight="1">
      <c r="A61" s="46" t="s">
        <v>249</v>
      </c>
      <c r="B61" s="46" t="s">
        <v>250</v>
      </c>
      <c r="E61" s="747"/>
      <c r="F61" s="745"/>
      <c r="M61" s="160"/>
      <c r="N61" s="160"/>
      <c r="Q61" s="446"/>
      <c r="S61" s="449"/>
      <c r="T61" s="160" t="s">
        <v>418</v>
      </c>
      <c r="U61" s="160"/>
      <c r="V61" s="160"/>
      <c r="W61" s="160"/>
      <c r="X61" s="160"/>
      <c r="Y61" s="160"/>
      <c r="Z61" s="160"/>
      <c r="AA61" s="160"/>
      <c r="AB61" s="160"/>
      <c r="AC61" s="160"/>
      <c r="AD61" s="160"/>
      <c r="AE61" s="160"/>
      <c r="AF61" s="160"/>
      <c r="AG61" s="160"/>
      <c r="AH61" s="160"/>
      <c r="AI61" s="160"/>
      <c r="AJ61" s="160"/>
      <c r="AK61" s="160"/>
      <c r="AL61" s="160"/>
      <c r="AM61" s="160"/>
      <c r="AN61" s="160"/>
      <c r="AO61" s="160"/>
      <c r="AP61" s="160"/>
      <c r="AQ61" s="160"/>
      <c r="AR61" s="160"/>
      <c r="AS61" s="160"/>
      <c r="AT61" s="160"/>
      <c r="AU61" s="160"/>
      <c r="AV61" s="160"/>
      <c r="AW61" s="160"/>
      <c r="AX61" s="160"/>
      <c r="AY61" s="160"/>
      <c r="AZ61" s="160"/>
      <c r="BA61" s="160"/>
      <c r="BB61" s="160"/>
      <c r="BC61" s="160"/>
      <c r="BF61" s="46" t="str">
        <f t="shared" si="4"/>
        <v>Добавить централизованную систему для дифференциации</v>
      </c>
      <c r="BI61" s="46">
        <v>0</v>
      </c>
    </row>
    <row r="62" spans="1:61" s="46" customFormat="1" ht="0" hidden="1" customHeight="1">
      <c r="A62" s="46" t="s">
        <v>249</v>
      </c>
      <c r="E62" s="745"/>
      <c r="M62" s="160"/>
      <c r="N62" s="160"/>
      <c r="Q62" s="446"/>
      <c r="S62" s="449"/>
      <c r="T62" s="160" t="s">
        <v>419</v>
      </c>
      <c r="U62" s="160"/>
      <c r="V62" s="160"/>
      <c r="W62" s="160"/>
      <c r="X62" s="160"/>
      <c r="Y62" s="160"/>
      <c r="Z62" s="160"/>
      <c r="AA62" s="160"/>
      <c r="AB62" s="160"/>
      <c r="AC62" s="160"/>
      <c r="AD62" s="160"/>
      <c r="AE62" s="160"/>
      <c r="AF62" s="160"/>
      <c r="AG62" s="160"/>
      <c r="AH62" s="160"/>
      <c r="AI62" s="160"/>
      <c r="AJ62" s="160"/>
      <c r="AK62" s="160"/>
      <c r="AL62" s="160"/>
      <c r="AM62" s="160"/>
      <c r="AN62" s="160"/>
      <c r="AO62" s="160"/>
      <c r="AP62" s="160"/>
      <c r="AQ62" s="160"/>
      <c r="AR62" s="160"/>
      <c r="AS62" s="160"/>
      <c r="AT62" s="160"/>
      <c r="AU62" s="160"/>
      <c r="AV62" s="160"/>
      <c r="AW62" s="160"/>
      <c r="AX62" s="160"/>
      <c r="AY62" s="160"/>
      <c r="AZ62" s="160"/>
      <c r="BA62" s="160"/>
      <c r="BB62" s="160"/>
      <c r="BC62" s="160"/>
      <c r="BF62" s="46" t="str">
        <f t="shared" si="4"/>
        <v>Добавить территорию для дифференциации</v>
      </c>
      <c r="BI62" s="46">
        <v>0</v>
      </c>
    </row>
    <row r="63" spans="1:61" s="46" customFormat="1" ht="0" hidden="1" customHeight="1">
      <c r="M63" s="160"/>
      <c r="N63" s="160"/>
      <c r="Q63" s="446"/>
      <c r="S63" s="449"/>
      <c r="T63" s="160" t="s">
        <v>451</v>
      </c>
      <c r="U63" s="160"/>
      <c r="V63" s="160"/>
      <c r="W63" s="160"/>
      <c r="X63" s="160"/>
      <c r="Y63" s="160"/>
      <c r="Z63" s="160"/>
      <c r="AA63" s="160"/>
      <c r="AB63" s="160"/>
      <c r="AC63" s="160"/>
      <c r="AD63" s="160"/>
      <c r="AE63" s="160"/>
      <c r="AF63" s="160"/>
      <c r="AG63" s="160"/>
      <c r="AH63" s="160"/>
      <c r="AI63" s="160"/>
      <c r="AJ63" s="160"/>
      <c r="AK63" s="160"/>
      <c r="AL63" s="160"/>
      <c r="AM63" s="160"/>
      <c r="AN63" s="160"/>
      <c r="AO63" s="160"/>
      <c r="AP63" s="160"/>
      <c r="AQ63" s="160"/>
      <c r="AR63" s="160"/>
      <c r="AS63" s="160"/>
      <c r="AT63" s="160"/>
      <c r="AU63" s="160"/>
      <c r="AV63" s="160"/>
      <c r="AW63" s="160"/>
      <c r="AX63" s="160"/>
      <c r="AY63" s="160"/>
      <c r="AZ63" s="160"/>
      <c r="BA63" s="160"/>
      <c r="BB63" s="160"/>
      <c r="BC63" s="160"/>
      <c r="BF63" s="46" t="str">
        <f t="shared" si="4"/>
        <v>Добавить наименование тарифа</v>
      </c>
      <c r="BI63" s="46">
        <v>0</v>
      </c>
    </row>
    <row r="64" spans="1:61" ht="11.45" customHeight="1">
      <c r="M64" s="43"/>
      <c r="N64" s="43"/>
      <c r="O64" s="43"/>
      <c r="P64" s="43"/>
      <c r="Q64" s="43"/>
      <c r="R64" s="4"/>
      <c r="BD64" s="4"/>
      <c r="BE64" s="4"/>
      <c r="BF64" s="4"/>
      <c r="BG64" s="4"/>
      <c r="BH64" s="4"/>
      <c r="BI64" s="4">
        <v>11</v>
      </c>
    </row>
    <row r="65" spans="1:61" ht="19.899999999999999" customHeight="1">
      <c r="O65" s="43"/>
      <c r="T65" s="665"/>
      <c r="U65" s="665"/>
      <c r="V65" s="665"/>
      <c r="W65" s="665"/>
      <c r="X65" s="665"/>
      <c r="Y65" s="665"/>
      <c r="Z65" s="665"/>
      <c r="AA65" s="665"/>
      <c r="AB65" s="665"/>
      <c r="AC65" s="665"/>
      <c r="AD65" s="665"/>
      <c r="AE65" s="665"/>
      <c r="AF65" s="665"/>
      <c r="AG65" s="665"/>
      <c r="AH65" s="665"/>
      <c r="AI65" s="665"/>
      <c r="AJ65" s="665"/>
      <c r="AK65" s="665"/>
      <c r="AL65" s="665"/>
      <c r="AM65" s="665"/>
      <c r="AN65" s="665"/>
      <c r="AO65" s="665"/>
      <c r="AP65" s="665"/>
      <c r="AQ65" s="665"/>
      <c r="AR65" s="665"/>
      <c r="AS65" s="665"/>
      <c r="AT65" s="665"/>
      <c r="AU65" s="665"/>
      <c r="AV65" s="665"/>
      <c r="AW65" s="665"/>
      <c r="AX65" s="665"/>
      <c r="AY65" s="665"/>
      <c r="AZ65" s="665"/>
      <c r="BA65" s="665"/>
      <c r="BB65" s="665"/>
      <c r="BC65" s="665"/>
      <c r="BI65" s="4">
        <v>19</v>
      </c>
    </row>
    <row r="66" spans="1:61" ht="14.65" customHeight="1">
      <c r="O66" s="43"/>
      <c r="BI66" s="4">
        <v>14</v>
      </c>
    </row>
    <row r="67" spans="1:61" ht="19.899999999999999" customHeight="1">
      <c r="O67" s="43"/>
      <c r="T67" s="665"/>
      <c r="U67" s="665"/>
      <c r="V67" s="665"/>
      <c r="W67" s="665"/>
      <c r="X67" s="665"/>
      <c r="Y67" s="665"/>
      <c r="Z67" s="665"/>
      <c r="AA67" s="665"/>
      <c r="AB67" s="665"/>
      <c r="AC67" s="665"/>
      <c r="AD67" s="665"/>
      <c r="AE67" s="665"/>
      <c r="AF67" s="665"/>
      <c r="AG67" s="665"/>
      <c r="AH67" s="665"/>
      <c r="AI67" s="665"/>
      <c r="AJ67" s="665"/>
      <c r="AK67" s="665"/>
      <c r="AL67" s="665"/>
      <c r="AM67" s="665"/>
      <c r="AN67" s="665"/>
      <c r="AO67" s="665"/>
      <c r="AP67" s="665"/>
      <c r="AQ67" s="665"/>
      <c r="AR67" s="665"/>
      <c r="AS67" s="665"/>
      <c r="AT67" s="665"/>
      <c r="AU67" s="665"/>
      <c r="AV67" s="665"/>
      <c r="AW67" s="665"/>
      <c r="AX67" s="665"/>
      <c r="AY67" s="665"/>
      <c r="AZ67" s="665"/>
      <c r="BA67" s="665"/>
      <c r="BB67" s="665"/>
      <c r="BC67" s="665"/>
      <c r="BI67" s="4">
        <v>19</v>
      </c>
    </row>
    <row r="68" spans="1:61" ht="14.65" customHeight="1">
      <c r="O68" s="43"/>
      <c r="BI68" s="4">
        <v>14</v>
      </c>
    </row>
    <row r="69" spans="1:61" ht="14.25" hidden="1" customHeight="1">
      <c r="A69" s="43" t="s">
        <v>82</v>
      </c>
      <c r="B69" s="43">
        <v>0</v>
      </c>
      <c r="C69" s="43">
        <v>0</v>
      </c>
      <c r="D69" s="43">
        <v>0</v>
      </c>
      <c r="E69" s="43">
        <v>0</v>
      </c>
      <c r="F69" s="43">
        <v>0</v>
      </c>
      <c r="G69" s="43">
        <v>0</v>
      </c>
      <c r="H69" s="43">
        <v>0</v>
      </c>
      <c r="I69" s="43">
        <v>0</v>
      </c>
      <c r="J69" s="43">
        <v>0</v>
      </c>
      <c r="K69" s="43">
        <v>0</v>
      </c>
      <c r="L69" s="43">
        <v>0</v>
      </c>
      <c r="M69" s="167">
        <v>0</v>
      </c>
      <c r="N69" s="167">
        <v>0</v>
      </c>
      <c r="O69" s="167">
        <v>0</v>
      </c>
      <c r="P69" s="167">
        <v>0</v>
      </c>
      <c r="Q69" s="452">
        <v>0</v>
      </c>
      <c r="R69" s="20">
        <v>3</v>
      </c>
      <c r="S69" s="4">
        <v>12</v>
      </c>
      <c r="T69" s="4">
        <v>31</v>
      </c>
      <c r="U69" s="4">
        <v>0</v>
      </c>
      <c r="V69" s="4">
        <v>0</v>
      </c>
      <c r="W69" s="4">
        <v>0</v>
      </c>
      <c r="X69" s="4">
        <v>0</v>
      </c>
      <c r="Y69" s="4">
        <v>0</v>
      </c>
      <c r="Z69" s="4">
        <v>0</v>
      </c>
      <c r="AA69" s="4">
        <v>0</v>
      </c>
      <c r="AB69" s="4">
        <v>0</v>
      </c>
      <c r="AC69" s="4">
        <v>0</v>
      </c>
      <c r="AD69" s="4">
        <v>3</v>
      </c>
      <c r="AE69" s="4">
        <v>3</v>
      </c>
      <c r="AF69" s="4">
        <v>3</v>
      </c>
      <c r="AG69" s="4">
        <v>24</v>
      </c>
      <c r="AH69" s="4">
        <v>3</v>
      </c>
      <c r="AI69" s="4">
        <v>3</v>
      </c>
      <c r="AJ69" s="4">
        <v>3</v>
      </c>
      <c r="AK69" s="4">
        <v>24</v>
      </c>
      <c r="AL69" s="4">
        <v>3</v>
      </c>
      <c r="AM69" s="4">
        <v>3</v>
      </c>
      <c r="AN69" s="4">
        <v>3</v>
      </c>
      <c r="AO69" s="4">
        <v>18</v>
      </c>
      <c r="AP69" s="4">
        <v>3</v>
      </c>
      <c r="AQ69" s="4">
        <v>3</v>
      </c>
      <c r="AR69" s="4">
        <v>3</v>
      </c>
      <c r="AS69" s="4">
        <v>18</v>
      </c>
      <c r="AT69" s="4">
        <v>21</v>
      </c>
      <c r="AU69" s="4">
        <v>21</v>
      </c>
      <c r="AV69" s="4">
        <v>21</v>
      </c>
      <c r="AW69" s="4">
        <v>21</v>
      </c>
      <c r="AX69" s="4">
        <v>11</v>
      </c>
      <c r="AY69" s="4">
        <v>3</v>
      </c>
      <c r="AZ69" s="4">
        <v>11</v>
      </c>
      <c r="BA69" s="4">
        <v>0</v>
      </c>
      <c r="BB69" s="4">
        <v>4</v>
      </c>
      <c r="BC69" s="4">
        <v>115</v>
      </c>
      <c r="BD69" s="46">
        <v>10</v>
      </c>
      <c r="BE69" s="46">
        <v>10</v>
      </c>
      <c r="BF69" s="46">
        <v>10</v>
      </c>
      <c r="BG69" s="46">
        <v>10</v>
      </c>
      <c r="BH69" s="46">
        <v>10</v>
      </c>
      <c r="BI69" s="4">
        <v>23</v>
      </c>
    </row>
  </sheetData>
  <sheetProtection formatColumns="0" formatRows="0" insertRows="0" deleteColumns="0" deleteRows="0" sort="0" autoFilter="0"/>
  <mergeCells count="122">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 ref="AD7:BB7"/>
    <mergeCell ref="K8:K12"/>
    <mergeCell ref="R8:R12"/>
    <mergeCell ref="S8:S12"/>
    <mergeCell ref="T8:T12"/>
    <mergeCell ref="AH8:AH11"/>
    <mergeCell ref="AI8:AI10"/>
    <mergeCell ref="AJ8:AJ10"/>
    <mergeCell ref="S28:AZ28"/>
    <mergeCell ref="S29:AZ29"/>
    <mergeCell ref="BC8:BC13"/>
    <mergeCell ref="AK8:AK10"/>
    <mergeCell ref="AL8:AL10"/>
    <mergeCell ref="AE8:AE11"/>
    <mergeCell ref="AF8:AF11"/>
    <mergeCell ref="AG8:AG11"/>
    <mergeCell ref="S31:T31"/>
    <mergeCell ref="V31:AB31"/>
    <mergeCell ref="AD31:AZ31"/>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T67:BC67"/>
    <mergeCell ref="AK52:AK54"/>
    <mergeCell ref="AL52:AL54"/>
    <mergeCell ref="AE52:AE55"/>
    <mergeCell ref="AF52:AF55"/>
    <mergeCell ref="AG52:AG55"/>
    <mergeCell ref="AH52:AH55"/>
    <mergeCell ref="AI52:AI54"/>
    <mergeCell ref="AJ52:AJ54"/>
    <mergeCell ref="BC52:BC57"/>
    <mergeCell ref="T52:T56"/>
    <mergeCell ref="T65:BC65"/>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xr:uid="{00000000-0002-0000-1900-000000000000}">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xr:uid="{00000000-0002-0000-1900-000001000000}">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xr:uid="{00000000-0002-0000-1900-000002000000}"/>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xr:uid="{00000000-0002-0000-1900-000003000000}"/>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xr:uid="{00000000-0002-0000-1900-000004000000}">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xr:uid="{00000000-0002-0000-1900-000005000000}"/>
    <dataValidation type="decimal" allowBlank="1" showErrorMessage="1" errorTitle="Ошибка" error="Допускается ввод только действительных чисел!" sqref="AO52:AO53 AG8:AG11 AO8:AO9 AG52:AG55" xr:uid="{00000000-0002-0000-1900-000006000000}">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xr:uid="{00000000-0002-0000-1900-000007000000}">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xr:uid="{00000000-0002-0000-1900-00000800000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BA8383-EDC9-E82C-0A73-3047B089C9B3}">
  <sheetPr>
    <tabColor theme="6" tint="0.39997558519241921"/>
  </sheetPr>
  <dimension ref="A1:AQ58"/>
  <sheetViews>
    <sheetView showGridLines="0" zoomScale="90" workbookViewId="0">
      <pane xSplit="28" ySplit="40" topLeftCell="AC41" activePane="bottomRight" state="frozen"/>
      <selection pane="topRight" activeCell="AC1" sqref="AC1"/>
      <selection pane="bottomLeft" activeCell="A41" sqref="A41"/>
      <selection pane="bottomRight"/>
    </sheetView>
  </sheetViews>
  <sheetFormatPr defaultColWidth="10.5703125" defaultRowHeight="14.25" customHeight="1"/>
  <cols>
    <col min="1" max="1" width="10.5703125" style="43" hidden="1"/>
    <col min="2" max="2" width="11" style="43" hidden="1" customWidth="1"/>
    <col min="3" max="3" width="10.5703125" style="43" hidden="1"/>
    <col min="4" max="4" width="11.85546875" style="43" hidden="1" customWidth="1"/>
    <col min="5" max="5" width="10" style="43" hidden="1" customWidth="1"/>
    <col min="6" max="6" width="8.7109375" style="43" hidden="1" customWidth="1"/>
    <col min="7" max="7" width="7.5703125" style="43" hidden="1" customWidth="1"/>
    <col min="8" max="8" width="11.42578125" style="43" hidden="1" customWidth="1"/>
    <col min="9" max="9" width="14.140625" style="43" hidden="1" customWidth="1"/>
    <col min="10" max="10" width="9.85546875" style="43" hidden="1" customWidth="1"/>
    <col min="11" max="11" width="14.7109375" style="43" hidden="1" customWidth="1"/>
    <col min="12" max="12" width="19.140625" style="43" hidden="1" customWidth="1"/>
    <col min="13" max="14" width="12.28515625" style="167" hidden="1" customWidth="1"/>
    <col min="15" max="15" width="23.42578125" style="167" hidden="1" customWidth="1"/>
    <col min="16" max="16" width="3" style="23" customWidth="1"/>
    <col min="17" max="18" width="3" style="20" customWidth="1"/>
    <col min="19" max="19" width="12" style="4" customWidth="1"/>
    <col min="20" max="20" width="35" style="4" customWidth="1"/>
    <col min="21" max="21" width="0.140625" style="4" customWidth="1"/>
    <col min="22" max="24" width="24.7109375" style="4" hidden="1" customWidth="1"/>
    <col min="25" max="25" width="11.7109375" style="4" hidden="1" customWidth="1"/>
    <col min="26" max="26" width="3.7109375" style="4" hidden="1" customWidth="1"/>
    <col min="27" max="27" width="11.7109375" style="4" hidden="1" customWidth="1"/>
    <col min="28" max="28" width="8.5703125" style="4" hidden="1" customWidth="1"/>
    <col min="29" max="29" width="24.7109375" style="4" customWidth="1"/>
    <col min="30" max="31" width="24" style="4" customWidth="1"/>
    <col min="32" max="32" width="11" style="4" customWidth="1"/>
    <col min="33" max="33" width="3.7109375" style="4" customWidth="1"/>
    <col min="34" max="34" width="11" style="4" customWidth="1"/>
    <col min="35" max="35" width="8.5703125" style="4" hidden="1" customWidth="1"/>
    <col min="36" max="36" width="4" style="4" customWidth="1"/>
    <col min="37" max="37" width="115" style="4" customWidth="1"/>
    <col min="38" max="42" width="10" style="46" customWidth="1"/>
    <col min="43" max="43" width="10.5703125" style="4" hidden="1"/>
  </cols>
  <sheetData>
    <row r="1" spans="5:43" ht="22.5" hidden="1" customHeight="1">
      <c r="AQ1" s="4" t="s">
        <v>14</v>
      </c>
    </row>
    <row r="2" spans="5:43" ht="23.25" hidden="1" customHeight="1">
      <c r="E2" s="745">
        <v>1</v>
      </c>
      <c r="M2" s="43"/>
      <c r="N2" s="43"/>
      <c r="O2" s="43"/>
      <c r="Q2" s="4"/>
      <c r="R2" s="119"/>
      <c r="S2" s="24" t="e">
        <f>INDEX(PT_DIFFERENTIATION_NUM_NTAR,MATCH(A2,PT_DIFFERENTIATION_NTAR_ID,0))</f>
        <v>#N/A</v>
      </c>
      <c r="T2" s="29" t="s">
        <v>128</v>
      </c>
      <c r="U2" s="29"/>
      <c r="V2" s="742"/>
      <c r="W2" s="743"/>
      <c r="X2" s="743"/>
      <c r="Y2" s="743"/>
      <c r="Z2" s="743"/>
      <c r="AA2" s="743"/>
      <c r="AB2" s="744"/>
      <c r="AC2" s="742" t="e">
        <f>INDEX(PT_DIFFERENTIATION_NTAR,MATCH(A2,PT_DIFFERENTIATION_NTAR_ID,0))</f>
        <v>#N/A</v>
      </c>
      <c r="AD2" s="743"/>
      <c r="AE2" s="743"/>
      <c r="AF2" s="743"/>
      <c r="AG2" s="743"/>
      <c r="AH2" s="743"/>
      <c r="AI2" s="743"/>
      <c r="AJ2" s="744"/>
      <c r="AK2" s="4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N2" s="46" t="str">
        <f t="shared" ref="AN2:AN13" si="0">IF(T2="","",T2)</f>
        <v>Наименование тарифа</v>
      </c>
      <c r="AQ2" s="4">
        <v>0</v>
      </c>
    </row>
    <row r="3" spans="5:43" ht="23.25" hidden="1" customHeight="1">
      <c r="E3" s="747"/>
      <c r="F3" s="745">
        <v>1</v>
      </c>
      <c r="M3" s="43"/>
      <c r="N3" s="43"/>
      <c r="O3" s="43"/>
      <c r="P3" s="4"/>
      <c r="Q3" s="118"/>
      <c r="R3" s="119"/>
      <c r="S3" s="24" t="e">
        <f>INDEX(PT_DIFFERENTIATION_NUM_TER,MATCH(B3,PT_DIFFERENTIATION_TER_ID,0))</f>
        <v>#N/A</v>
      </c>
      <c r="T3" s="24" t="s">
        <v>400</v>
      </c>
      <c r="U3" s="29"/>
      <c r="V3" s="742"/>
      <c r="W3" s="743"/>
      <c r="X3" s="743"/>
      <c r="Y3" s="743"/>
      <c r="Z3" s="743"/>
      <c r="AA3" s="743"/>
      <c r="AB3" s="744"/>
      <c r="AC3" s="742" t="e">
        <f>INDEX(PT_DIFFERENTIATION_TER,MATCH(B3,PT_DIFFERENTIATION_TER_ID,0))</f>
        <v>#N/A</v>
      </c>
      <c r="AD3" s="743"/>
      <c r="AE3" s="743"/>
      <c r="AF3" s="743"/>
      <c r="AG3" s="743"/>
      <c r="AH3" s="743"/>
      <c r="AI3" s="743"/>
      <c r="AJ3" s="744"/>
      <c r="AK3" s="428" t="s">
        <v>401</v>
      </c>
      <c r="AN3" s="46" t="str">
        <f t="shared" si="0"/>
        <v>Территория действия тарифа</v>
      </c>
      <c r="AQ3" s="4">
        <v>0</v>
      </c>
    </row>
    <row r="4" spans="5:43" ht="23.25" hidden="1" customHeight="1">
      <c r="E4" s="747"/>
      <c r="F4" s="747"/>
      <c r="G4" s="745">
        <v>1</v>
      </c>
      <c r="M4" s="43"/>
      <c r="N4" s="43"/>
      <c r="O4" s="43"/>
      <c r="P4" s="16"/>
      <c r="Q4" s="118"/>
      <c r="R4" s="119"/>
      <c r="S4" s="24" t="e">
        <f>INDEX(PT_DIFFERENTIATION_NUM_CS,MATCH(C4,PT_DIFFERENTIATION_CS_ID,0))</f>
        <v>#N/A</v>
      </c>
      <c r="T4" s="24" t="s">
        <v>519</v>
      </c>
      <c r="U4" s="29"/>
      <c r="V4" s="742"/>
      <c r="W4" s="743"/>
      <c r="X4" s="743"/>
      <c r="Y4" s="743"/>
      <c r="Z4" s="743"/>
      <c r="AA4" s="743"/>
      <c r="AB4" s="744"/>
      <c r="AC4" s="742" t="e">
        <f>INDEX(PT_DIFFERENTIATION_CS,MATCH(C4,PT_DIFFERENTIATION_CS_ID,0))</f>
        <v>#N/A</v>
      </c>
      <c r="AD4" s="743"/>
      <c r="AE4" s="743"/>
      <c r="AF4" s="743"/>
      <c r="AG4" s="743"/>
      <c r="AH4" s="743"/>
      <c r="AI4" s="743"/>
      <c r="AJ4" s="744"/>
      <c r="AK4" s="428" t="s">
        <v>520</v>
      </c>
      <c r="AN4" s="46" t="str">
        <f t="shared" si="0"/>
        <v>Наименование централизованной системы водоотведения</v>
      </c>
      <c r="AQ4" s="4">
        <v>0</v>
      </c>
    </row>
    <row r="5" spans="5:43" ht="23.25" hidden="1" customHeight="1">
      <c r="E5" s="747"/>
      <c r="F5" s="747"/>
      <c r="G5" s="747"/>
      <c r="H5" s="747"/>
      <c r="I5" s="745" t="e">
        <f>S4&amp;".1"</f>
        <v>#N/A</v>
      </c>
      <c r="P5" s="748">
        <v>1</v>
      </c>
      <c r="Q5" s="46"/>
      <c r="R5" s="120"/>
      <c r="S5" s="24" t="e">
        <f>$I5</f>
        <v>#N/A</v>
      </c>
      <c r="T5" s="24" t="s">
        <v>486</v>
      </c>
      <c r="U5" s="29"/>
      <c r="V5" s="793"/>
      <c r="W5" s="794"/>
      <c r="X5" s="794"/>
      <c r="Y5" s="794"/>
      <c r="Z5" s="794"/>
      <c r="AA5" s="794"/>
      <c r="AB5" s="795"/>
      <c r="AC5" s="793"/>
      <c r="AD5" s="794"/>
      <c r="AE5" s="794"/>
      <c r="AF5" s="794"/>
      <c r="AG5" s="794"/>
      <c r="AH5" s="794"/>
      <c r="AI5" s="794"/>
      <c r="AJ5" s="795"/>
      <c r="AK5" s="428" t="s">
        <v>487</v>
      </c>
      <c r="AN5" s="46" t="str">
        <f t="shared" si="0"/>
        <v>Наименование признака дифференциации</v>
      </c>
      <c r="AQ5" s="4">
        <v>0</v>
      </c>
    </row>
    <row r="6" spans="5:43" ht="23.25" hidden="1" customHeight="1">
      <c r="E6" s="747"/>
      <c r="F6" s="747"/>
      <c r="G6" s="747"/>
      <c r="H6" s="747"/>
      <c r="I6" s="747"/>
      <c r="J6" s="745" t="e">
        <f>I5&amp;".1"</f>
        <v>#N/A</v>
      </c>
      <c r="L6" s="43" t="s">
        <v>409</v>
      </c>
      <c r="P6" s="748"/>
      <c r="Q6" s="748">
        <v>1</v>
      </c>
      <c r="R6" s="120"/>
      <c r="S6" s="24" t="e">
        <f>$J6</f>
        <v>#N/A</v>
      </c>
      <c r="T6" s="24" t="s">
        <v>410</v>
      </c>
      <c r="U6" s="29"/>
      <c r="V6" s="737"/>
      <c r="W6" s="738"/>
      <c r="X6" s="738"/>
      <c r="Y6" s="738"/>
      <c r="Z6" s="738"/>
      <c r="AA6" s="738"/>
      <c r="AB6" s="739"/>
      <c r="AC6" s="737"/>
      <c r="AD6" s="738"/>
      <c r="AE6" s="738"/>
      <c r="AF6" s="738"/>
      <c r="AG6" s="738"/>
      <c r="AH6" s="738"/>
      <c r="AI6" s="738"/>
      <c r="AJ6" s="739"/>
      <c r="AK6" s="445" t="s">
        <v>488</v>
      </c>
      <c r="AN6" s="46" t="str">
        <f t="shared" si="0"/>
        <v>Группа потребителей</v>
      </c>
      <c r="AQ6" s="4">
        <v>0</v>
      </c>
    </row>
    <row r="7" spans="5:43" ht="23.25" hidden="1" customHeight="1">
      <c r="E7" s="747"/>
      <c r="F7" s="747"/>
      <c r="G7" s="747"/>
      <c r="H7" s="747"/>
      <c r="I7" s="747"/>
      <c r="J7" s="747"/>
      <c r="K7" s="745" t="e">
        <f>J6&amp;".1"</f>
        <v>#N/A</v>
      </c>
      <c r="P7" s="748"/>
      <c r="Q7" s="748"/>
      <c r="R7" s="120">
        <v>1</v>
      </c>
      <c r="S7" s="24" t="e">
        <f>$K7</f>
        <v>#N/A</v>
      </c>
      <c r="T7" s="25"/>
      <c r="U7" s="29"/>
      <c r="V7" s="168"/>
      <c r="W7" s="168"/>
      <c r="X7" s="427"/>
      <c r="Y7" s="749"/>
      <c r="Z7" s="688" t="s">
        <v>66</v>
      </c>
      <c r="AA7" s="749"/>
      <c r="AB7" s="688" t="s">
        <v>66</v>
      </c>
      <c r="AC7" s="168"/>
      <c r="AD7" s="168"/>
      <c r="AE7" s="427"/>
      <c r="AF7" s="749"/>
      <c r="AG7" s="688" t="s">
        <v>66</v>
      </c>
      <c r="AH7" s="750"/>
      <c r="AI7" s="688" t="s">
        <v>66</v>
      </c>
      <c r="AJ7" s="474"/>
      <c r="AK7" s="79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6" t="e">
        <f ca="1">STRCHECKDATE(V8:AJ8)</f>
        <v>#NAME?</v>
      </c>
      <c r="AN7" s="46" t="str">
        <f t="shared" si="0"/>
        <v/>
      </c>
      <c r="AQ7" s="4">
        <v>0</v>
      </c>
    </row>
    <row r="8" spans="5:43" ht="14.25" hidden="1" customHeight="1">
      <c r="E8" s="747"/>
      <c r="F8" s="747"/>
      <c r="G8" s="747"/>
      <c r="H8" s="747"/>
      <c r="I8" s="747"/>
      <c r="J8" s="747"/>
      <c r="K8" s="745"/>
      <c r="P8" s="748"/>
      <c r="Q8" s="748"/>
      <c r="R8" s="120"/>
      <c r="S8" s="31"/>
      <c r="T8" s="29"/>
      <c r="U8" s="29"/>
      <c r="V8" s="110"/>
      <c r="W8" s="110"/>
      <c r="X8" s="111" t="str">
        <f>Y7&amp;"-"&amp;AA7</f>
        <v>-</v>
      </c>
      <c r="Y8" s="707"/>
      <c r="Z8" s="688"/>
      <c r="AA8" s="707"/>
      <c r="AB8" s="688"/>
      <c r="AC8" s="110"/>
      <c r="AD8" s="110"/>
      <c r="AE8" s="111" t="str">
        <f>AF7&amp;"-"&amp;AH7</f>
        <v>-</v>
      </c>
      <c r="AF8" s="707"/>
      <c r="AG8" s="688"/>
      <c r="AH8" s="751"/>
      <c r="AI8" s="688"/>
      <c r="AJ8" s="216"/>
      <c r="AK8" s="796"/>
      <c r="AN8" s="46" t="str">
        <f t="shared" si="0"/>
        <v/>
      </c>
      <c r="AQ8" s="4">
        <v>0</v>
      </c>
    </row>
    <row r="9" spans="5:43" ht="21" hidden="1" customHeight="1">
      <c r="E9" s="747"/>
      <c r="F9" s="747"/>
      <c r="G9" s="747"/>
      <c r="H9" s="747"/>
      <c r="I9" s="747"/>
      <c r="J9" s="745"/>
      <c r="P9" s="748"/>
      <c r="Q9" s="748"/>
      <c r="R9" s="120"/>
      <c r="S9" s="434"/>
      <c r="T9" s="37" t="s">
        <v>489</v>
      </c>
      <c r="U9" s="58"/>
      <c r="V9" s="58"/>
      <c r="W9" s="58"/>
      <c r="X9" s="58"/>
      <c r="Y9" s="58"/>
      <c r="Z9" s="58"/>
      <c r="AA9" s="58"/>
      <c r="AB9" s="58"/>
      <c r="AC9" s="58"/>
      <c r="AD9" s="58"/>
      <c r="AE9" s="58"/>
      <c r="AF9" s="58"/>
      <c r="AG9" s="58"/>
      <c r="AH9" s="58"/>
      <c r="AI9" s="58"/>
      <c r="AJ9" s="58"/>
      <c r="AK9" s="428" t="s">
        <v>490</v>
      </c>
      <c r="AN9" s="46" t="str">
        <f t="shared" si="0"/>
        <v>Добавить значение признака дифференциации</v>
      </c>
      <c r="AQ9" s="4">
        <v>0</v>
      </c>
    </row>
    <row r="10" spans="5:43" ht="21" hidden="1" customHeight="1">
      <c r="E10" s="747"/>
      <c r="F10" s="747"/>
      <c r="G10" s="747"/>
      <c r="H10" s="747"/>
      <c r="I10" s="745"/>
      <c r="P10" s="748"/>
      <c r="Q10" s="46"/>
      <c r="R10" s="120"/>
      <c r="S10" s="434"/>
      <c r="T10" s="37" t="s">
        <v>415</v>
      </c>
      <c r="U10" s="58"/>
      <c r="V10" s="58"/>
      <c r="W10" s="58"/>
      <c r="X10" s="58"/>
      <c r="Y10" s="58"/>
      <c r="Z10" s="58"/>
      <c r="AA10" s="58"/>
      <c r="AB10" s="54"/>
      <c r="AC10" s="58"/>
      <c r="AD10" s="58"/>
      <c r="AE10" s="58"/>
      <c r="AF10" s="58"/>
      <c r="AG10" s="58"/>
      <c r="AH10" s="58"/>
      <c r="AI10" s="54"/>
      <c r="AJ10" s="58"/>
      <c r="AK10" s="475"/>
      <c r="AN10" s="46" t="str">
        <f t="shared" si="0"/>
        <v>Добавить группу потребителей</v>
      </c>
      <c r="AQ10" s="4">
        <v>0</v>
      </c>
    </row>
    <row r="11" spans="5:43" ht="21" hidden="1" customHeight="1">
      <c r="E11" s="747"/>
      <c r="F11" s="747"/>
      <c r="G11" s="747"/>
      <c r="H11" s="745"/>
      <c r="M11" s="43"/>
      <c r="N11" s="43"/>
      <c r="O11" s="43"/>
      <c r="P11" s="4"/>
      <c r="R11" s="119"/>
      <c r="S11" s="434"/>
      <c r="T11" s="37" t="s">
        <v>491</v>
      </c>
      <c r="U11" s="58"/>
      <c r="V11" s="58"/>
      <c r="W11" s="58"/>
      <c r="X11" s="58"/>
      <c r="Y11" s="58"/>
      <c r="Z11" s="58"/>
      <c r="AA11" s="58"/>
      <c r="AB11" s="54"/>
      <c r="AC11" s="58"/>
      <c r="AD11" s="58"/>
      <c r="AE11" s="58"/>
      <c r="AF11" s="58"/>
      <c r="AG11" s="58"/>
      <c r="AH11" s="58"/>
      <c r="AI11" s="54"/>
      <c r="AJ11" s="58"/>
      <c r="AK11" s="102"/>
      <c r="AN11" s="46" t="str">
        <f t="shared" si="0"/>
        <v>Добавить наименование признака дифференциации</v>
      </c>
      <c r="AQ11" s="4">
        <v>0</v>
      </c>
    </row>
    <row r="12" spans="5:43" s="46" customFormat="1" ht="14.25" hidden="1" customHeight="1">
      <c r="E12" s="747"/>
      <c r="F12" s="745"/>
      <c r="M12" s="160"/>
      <c r="N12" s="160"/>
      <c r="Q12" s="446"/>
      <c r="S12" s="449"/>
      <c r="T12" s="160" t="s">
        <v>418</v>
      </c>
      <c r="U12" s="160"/>
      <c r="V12" s="160"/>
      <c r="W12" s="160"/>
      <c r="X12" s="160"/>
      <c r="Y12" s="160"/>
      <c r="Z12" s="160"/>
      <c r="AA12" s="160"/>
      <c r="AB12" s="160"/>
      <c r="AC12" s="160"/>
      <c r="AD12" s="160"/>
      <c r="AE12" s="160"/>
      <c r="AF12" s="160"/>
      <c r="AG12" s="160"/>
      <c r="AH12" s="160"/>
      <c r="AI12" s="160"/>
      <c r="AJ12" s="160"/>
      <c r="AK12" s="160"/>
      <c r="AN12" s="46" t="str">
        <f t="shared" si="0"/>
        <v>Добавить централизованную систему для дифференциации</v>
      </c>
      <c r="AQ12" s="46">
        <v>0</v>
      </c>
    </row>
    <row r="13" spans="5:43" s="46" customFormat="1" ht="14.25" hidden="1" customHeight="1">
      <c r="E13" s="745"/>
      <c r="M13" s="160"/>
      <c r="N13" s="160"/>
      <c r="Q13" s="446"/>
      <c r="S13" s="449"/>
      <c r="T13" s="160" t="s">
        <v>419</v>
      </c>
      <c r="U13" s="160"/>
      <c r="V13" s="160"/>
      <c r="W13" s="160"/>
      <c r="X13" s="160"/>
      <c r="Y13" s="160"/>
      <c r="Z13" s="160"/>
      <c r="AA13" s="160"/>
      <c r="AB13" s="160"/>
      <c r="AC13" s="160"/>
      <c r="AD13" s="160"/>
      <c r="AE13" s="160"/>
      <c r="AF13" s="160"/>
      <c r="AG13" s="160"/>
      <c r="AH13" s="160"/>
      <c r="AI13" s="160"/>
      <c r="AJ13" s="160"/>
      <c r="AK13" s="160"/>
      <c r="AN13" s="46" t="str">
        <f t="shared" si="0"/>
        <v>Добавить территорию для дифференциации</v>
      </c>
      <c r="AQ13" s="46">
        <v>0</v>
      </c>
    </row>
    <row r="14" spans="5:43" ht="14.25" hidden="1" customHeight="1">
      <c r="AQ14" s="4">
        <v>0</v>
      </c>
    </row>
    <row r="15" spans="5:43" ht="14.25" hidden="1" customHeight="1">
      <c r="AC15" s="205"/>
      <c r="AD15" s="205"/>
      <c r="AE15" s="451"/>
      <c r="AF15" s="746"/>
      <c r="AG15" s="745" t="s">
        <v>66</v>
      </c>
      <c r="AH15" s="746"/>
      <c r="AI15" s="745" t="s">
        <v>66</v>
      </c>
      <c r="AQ15" s="4">
        <v>0</v>
      </c>
    </row>
    <row r="16" spans="5:43" ht="14.25" hidden="1" customHeight="1">
      <c r="AC16" s="205"/>
      <c r="AD16" s="205"/>
      <c r="AE16" s="111" t="str">
        <f>AF15&amp;"-"&amp;AH15</f>
        <v>-</v>
      </c>
      <c r="AF16" s="745"/>
      <c r="AG16" s="745"/>
      <c r="AH16" s="745"/>
      <c r="AI16" s="745"/>
      <c r="AQ16" s="4">
        <v>0</v>
      </c>
    </row>
    <row r="17" spans="1:43" ht="14.25" hidden="1" customHeight="1">
      <c r="AQ17" s="4">
        <v>0</v>
      </c>
    </row>
    <row r="18" spans="1:43" s="43" customFormat="1" ht="22.5" hidden="1" customHeight="1">
      <c r="M18" s="167"/>
      <c r="N18" s="167"/>
      <c r="O18" s="261" t="s">
        <v>420</v>
      </c>
      <c r="P18" s="167"/>
      <c r="Q18" s="452"/>
      <c r="R18" s="452"/>
      <c r="Y18" s="261"/>
      <c r="AA18" s="261"/>
      <c r="AF18" s="261"/>
      <c r="AH18" s="261"/>
      <c r="AL18" s="46"/>
      <c r="AM18" s="46"/>
      <c r="AN18" s="46"/>
      <c r="AO18" s="46"/>
      <c r="AP18" s="46"/>
      <c r="AQ18" s="43">
        <v>0</v>
      </c>
    </row>
    <row r="19" spans="1:43" s="43" customFormat="1" ht="14.25" hidden="1" customHeight="1">
      <c r="M19" s="167"/>
      <c r="N19" s="167"/>
      <c r="O19" s="167"/>
      <c r="P19" s="167"/>
      <c r="Q19" s="452"/>
      <c r="R19" s="452"/>
      <c r="AL19" s="46"/>
      <c r="AM19" s="46"/>
      <c r="AN19" s="46"/>
      <c r="AO19" s="46"/>
      <c r="AP19" s="46"/>
      <c r="AQ19" s="43">
        <v>0</v>
      </c>
    </row>
    <row r="20" spans="1:43" s="43" customFormat="1" ht="12" hidden="1" customHeight="1">
      <c r="M20" s="167"/>
      <c r="N20" s="167"/>
      <c r="O20" s="43" t="s">
        <v>421</v>
      </c>
      <c r="P20" s="167"/>
      <c r="Q20" s="476"/>
      <c r="R20" s="476"/>
      <c r="T20" s="43" t="s">
        <v>422</v>
      </c>
      <c r="Z20" s="43" t="s">
        <v>423</v>
      </c>
      <c r="AB20" s="43" t="s">
        <v>424</v>
      </c>
      <c r="AC20" s="43" t="s">
        <v>422</v>
      </c>
      <c r="AG20" s="43" t="s">
        <v>425</v>
      </c>
      <c r="AI20" s="43" t="s">
        <v>424</v>
      </c>
      <c r="AQ20" s="43">
        <v>0</v>
      </c>
    </row>
    <row r="21" spans="1:43" ht="14.25" hidden="1" customHeight="1">
      <c r="O21" s="43"/>
      <c r="AQ21" s="4">
        <v>0</v>
      </c>
    </row>
    <row r="22" spans="1:43" ht="14.25" hidden="1" customHeight="1">
      <c r="O22" s="43"/>
      <c r="AQ22" s="4">
        <v>0</v>
      </c>
    </row>
    <row r="23" spans="1:43" ht="14.65" customHeight="1">
      <c r="Q23" s="19"/>
      <c r="R23" s="19"/>
      <c r="S23" s="6"/>
      <c r="T23" s="6"/>
      <c r="U23" s="6"/>
      <c r="AQ23" s="4">
        <v>14</v>
      </c>
    </row>
    <row r="24" spans="1:43" ht="14.65" customHeight="1">
      <c r="Q24" s="19"/>
      <c r="R24" s="19"/>
      <c r="S24" s="697"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697"/>
      <c r="U24" s="697"/>
      <c r="V24" s="697"/>
      <c r="W24" s="697"/>
      <c r="X24" s="697"/>
      <c r="Y24" s="697"/>
      <c r="Z24" s="697"/>
      <c r="AA24" s="697"/>
      <c r="AB24" s="697"/>
      <c r="AC24" s="697"/>
      <c r="AD24" s="697"/>
      <c r="AE24" s="697"/>
      <c r="AF24" s="697"/>
      <c r="AG24" s="697"/>
      <c r="AH24" s="697"/>
      <c r="AI24" s="40"/>
      <c r="AQ24" s="4">
        <v>14</v>
      </c>
    </row>
    <row r="25" spans="1:43" ht="14.65" customHeight="1">
      <c r="Q25" s="19"/>
      <c r="R25" s="19"/>
      <c r="S25" s="712" t="str">
        <f>IF(org=0,"Не определено",org)</f>
        <v>ООО "Восточная Тепловая компания"</v>
      </c>
      <c r="T25" s="712"/>
      <c r="U25" s="712"/>
      <c r="V25" s="712"/>
      <c r="W25" s="712"/>
      <c r="X25" s="712"/>
      <c r="Y25" s="712"/>
      <c r="Z25" s="712"/>
      <c r="AA25" s="712"/>
      <c r="AB25" s="712"/>
      <c r="AC25" s="712"/>
      <c r="AD25" s="712"/>
      <c r="AE25" s="712"/>
      <c r="AF25" s="712"/>
      <c r="AG25" s="712"/>
      <c r="AH25" s="712"/>
      <c r="AI25" s="40"/>
      <c r="AQ25" s="4">
        <v>14</v>
      </c>
    </row>
    <row r="26" spans="1:43" ht="14.25" hidden="1" customHeight="1">
      <c r="Q26" s="19"/>
      <c r="R26" s="19"/>
      <c r="S26" s="6"/>
      <c r="T26" s="6"/>
      <c r="U26" s="6"/>
      <c r="V26" s="109"/>
      <c r="W26" s="109"/>
      <c r="X26" s="109"/>
      <c r="Y26" s="109"/>
      <c r="Z26" s="109"/>
      <c r="AA26" s="109"/>
      <c r="AB26" s="109"/>
      <c r="AC26" s="109"/>
      <c r="AD26" s="109"/>
      <c r="AE26" s="109"/>
      <c r="AF26" s="109"/>
      <c r="AG26" s="109"/>
      <c r="AH26" s="109"/>
      <c r="AI26" s="109"/>
      <c r="AQ26" s="4">
        <v>0</v>
      </c>
    </row>
    <row r="27" spans="1:43" s="22" customFormat="1" ht="25.5" hidden="1" customHeight="1">
      <c r="A27" s="43"/>
      <c r="B27" s="43"/>
      <c r="C27" s="43"/>
      <c r="D27" s="43"/>
      <c r="E27" s="43"/>
      <c r="F27" s="43"/>
      <c r="G27" s="43"/>
      <c r="H27" s="43"/>
      <c r="I27" s="43"/>
      <c r="J27" s="43"/>
      <c r="K27" s="43"/>
      <c r="L27" s="43"/>
      <c r="M27" s="43"/>
      <c r="N27" s="43"/>
      <c r="O27" s="43"/>
      <c r="S27" s="721" t="s">
        <v>42</v>
      </c>
      <c r="T27" s="721"/>
      <c r="U27" s="453"/>
      <c r="V27" s="741" t="str">
        <f>IF(TITLE_NAME_OR_PR_CHANGE="",IF(TITLE_NAME_OR_PR="","",TITLE_NAME_OR_PR),TITLE_NAME_OR_PR_CHANGE)</f>
        <v/>
      </c>
      <c r="W27" s="741"/>
      <c r="X27" s="741"/>
      <c r="Y27" s="741"/>
      <c r="Z27" s="741"/>
      <c r="AA27" s="741"/>
      <c r="AB27" s="4"/>
      <c r="AC27" s="741" t="str">
        <f>IF(TITLE_NAME_OR_PR_CHANGE="",IF(TITLE_NAME_OR_PR="","",TITLE_NAME_OR_PR),TITLE_NAME_OR_PR_CHANGE)</f>
        <v/>
      </c>
      <c r="AD27" s="741"/>
      <c r="AE27" s="741"/>
      <c r="AF27" s="741"/>
      <c r="AG27" s="741"/>
      <c r="AH27" s="741"/>
      <c r="AI27" s="4"/>
      <c r="AJ27" s="4"/>
      <c r="AK27" s="96"/>
      <c r="AL27" s="46"/>
      <c r="AM27" s="46"/>
      <c r="AN27" s="46"/>
      <c r="AO27" s="46"/>
      <c r="AP27" s="46"/>
      <c r="AQ27" s="22">
        <v>0</v>
      </c>
    </row>
    <row r="28" spans="1:43" s="22" customFormat="1" ht="18.75" hidden="1" customHeight="1">
      <c r="A28" s="43"/>
      <c r="B28" s="43"/>
      <c r="C28" s="43"/>
      <c r="D28" s="43"/>
      <c r="E28" s="43"/>
      <c r="F28" s="43"/>
      <c r="G28" s="43"/>
      <c r="H28" s="43"/>
      <c r="I28" s="43"/>
      <c r="J28" s="43"/>
      <c r="K28" s="43"/>
      <c r="L28" s="43"/>
      <c r="M28" s="43"/>
      <c r="N28" s="43"/>
      <c r="O28" s="43"/>
      <c r="S28" s="721" t="s">
        <v>426</v>
      </c>
      <c r="T28" s="721"/>
      <c r="U28" s="453"/>
      <c r="V28" s="740" t="str">
        <f>IF(TITLE_DATE_PR_CHANGE="",IF(TITLE_DATE_PR="","",TITLE_DATE_PR),TITLE_DATE_PR_CHANGE)</f>
        <v/>
      </c>
      <c r="W28" s="740"/>
      <c r="X28" s="740"/>
      <c r="Y28" s="740"/>
      <c r="Z28" s="740"/>
      <c r="AA28" s="740"/>
      <c r="AB28" s="4"/>
      <c r="AC28" s="740" t="str">
        <f>IF(TITLE_DATE_PR_CHANGE="",IF(TITLE_DATE_PR="","",TITLE_DATE_PR),TITLE_DATE_PR_CHANGE)</f>
        <v/>
      </c>
      <c r="AD28" s="740"/>
      <c r="AE28" s="740"/>
      <c r="AF28" s="740"/>
      <c r="AG28" s="740"/>
      <c r="AH28" s="740"/>
      <c r="AI28" s="4"/>
      <c r="AJ28" s="4"/>
      <c r="AK28" s="96"/>
      <c r="AL28" s="46"/>
      <c r="AM28" s="46"/>
      <c r="AN28" s="46"/>
      <c r="AO28" s="46"/>
      <c r="AP28" s="46"/>
      <c r="AQ28" s="22">
        <v>0</v>
      </c>
    </row>
    <row r="29" spans="1:43" s="22" customFormat="1" ht="18.75" hidden="1" customHeight="1">
      <c r="A29" s="43"/>
      <c r="B29" s="43"/>
      <c r="C29" s="43"/>
      <c r="D29" s="43"/>
      <c r="E29" s="43"/>
      <c r="F29" s="43"/>
      <c r="G29" s="43"/>
      <c r="H29" s="43"/>
      <c r="I29" s="43"/>
      <c r="J29" s="43"/>
      <c r="K29" s="43"/>
      <c r="L29" s="43"/>
      <c r="M29" s="43"/>
      <c r="N29" s="43"/>
      <c r="O29" s="43"/>
      <c r="S29" s="721" t="s">
        <v>427</v>
      </c>
      <c r="T29" s="721"/>
      <c r="U29" s="453"/>
      <c r="V29" s="741" t="str">
        <f>IF(TITLE_NUMBER_PR_CHANGE="",IF(TITLE_NUMBER_PR="","",TITLE_NUMBER_PR),TITLE_NUMBER_PR_CHANGE)</f>
        <v/>
      </c>
      <c r="W29" s="741"/>
      <c r="X29" s="741"/>
      <c r="Y29" s="741"/>
      <c r="Z29" s="741"/>
      <c r="AA29" s="741"/>
      <c r="AB29" s="4"/>
      <c r="AC29" s="741" t="str">
        <f>IF(TITLE_NUMBER_PR_CHANGE="",IF(TITLE_NUMBER_PR="","",TITLE_NUMBER_PR),TITLE_NUMBER_PR_CHANGE)</f>
        <v/>
      </c>
      <c r="AD29" s="741"/>
      <c r="AE29" s="741"/>
      <c r="AF29" s="741"/>
      <c r="AG29" s="741"/>
      <c r="AH29" s="741"/>
      <c r="AI29" s="4"/>
      <c r="AJ29" s="4"/>
      <c r="AK29" s="96"/>
      <c r="AL29" s="46"/>
      <c r="AM29" s="46"/>
      <c r="AN29" s="46"/>
      <c r="AO29" s="46"/>
      <c r="AP29" s="46"/>
      <c r="AQ29" s="22">
        <v>0</v>
      </c>
    </row>
    <row r="30" spans="1:43" s="22" customFormat="1" ht="18.75" hidden="1" customHeight="1">
      <c r="A30" s="43"/>
      <c r="B30" s="43"/>
      <c r="C30" s="43"/>
      <c r="D30" s="43"/>
      <c r="E30" s="43"/>
      <c r="F30" s="43"/>
      <c r="G30" s="43"/>
      <c r="H30" s="43"/>
      <c r="I30" s="43"/>
      <c r="J30" s="43"/>
      <c r="K30" s="43"/>
      <c r="L30" s="43"/>
      <c r="M30" s="43"/>
      <c r="N30" s="43"/>
      <c r="O30" s="43"/>
      <c r="S30" s="721" t="s">
        <v>43</v>
      </c>
      <c r="T30" s="721"/>
      <c r="U30" s="453"/>
      <c r="V30" s="741" t="str">
        <f>IF(TITLE_IST_PUB_CHANGE="",IF(TITLE_IST_PUB="","",TITLE_IST_PUB),TITLE_IST_PUB_CHANGE)</f>
        <v/>
      </c>
      <c r="W30" s="741"/>
      <c r="X30" s="741"/>
      <c r="Y30" s="741"/>
      <c r="Z30" s="741"/>
      <c r="AA30" s="741"/>
      <c r="AB30" s="4"/>
      <c r="AC30" s="741" t="str">
        <f>IF(TITLE_IST_PUB_CHANGE="",IF(TITLE_IST_PUB="","",TITLE_IST_PUB),TITLE_IST_PUB_CHANGE)</f>
        <v/>
      </c>
      <c r="AD30" s="741"/>
      <c r="AE30" s="741"/>
      <c r="AF30" s="741"/>
      <c r="AG30" s="741"/>
      <c r="AH30" s="741"/>
      <c r="AI30" s="4"/>
      <c r="AJ30" s="4"/>
      <c r="AK30" s="96"/>
      <c r="AL30" s="46"/>
      <c r="AM30" s="46"/>
      <c r="AN30" s="46"/>
      <c r="AO30" s="46"/>
      <c r="AP30" s="46"/>
      <c r="AQ30" s="22">
        <v>0</v>
      </c>
    </row>
    <row r="31" spans="1:43" ht="14.25" hidden="1" customHeight="1">
      <c r="Q31" s="19"/>
      <c r="R31" s="19"/>
      <c r="S31" s="6"/>
      <c r="T31" s="6"/>
      <c r="U31" s="6"/>
      <c r="V31" s="109"/>
      <c r="W31" s="109"/>
      <c r="X31" s="109"/>
      <c r="Y31" s="109"/>
      <c r="Z31" s="109"/>
      <c r="AA31" s="109"/>
      <c r="AB31" s="109"/>
      <c r="AC31" s="109"/>
      <c r="AD31" s="109"/>
      <c r="AE31" s="109"/>
      <c r="AF31" s="109"/>
      <c r="AG31" s="109"/>
      <c r="AH31" s="109"/>
      <c r="AI31" s="109"/>
      <c r="AQ31" s="4">
        <v>0</v>
      </c>
    </row>
    <row r="32" spans="1:43" s="22" customFormat="1" ht="18.75" hidden="1" customHeight="1">
      <c r="A32" s="43"/>
      <c r="B32" s="43"/>
      <c r="C32" s="43"/>
      <c r="D32" s="43"/>
      <c r="E32" s="43"/>
      <c r="F32" s="43"/>
      <c r="G32" s="43"/>
      <c r="H32" s="43"/>
      <c r="I32" s="43"/>
      <c r="J32" s="43"/>
      <c r="K32" s="43"/>
      <c r="L32" s="43"/>
      <c r="M32" s="43"/>
      <c r="N32" s="43"/>
      <c r="O32" s="43"/>
      <c r="S32" s="721" t="s">
        <v>428</v>
      </c>
      <c r="T32" s="721"/>
      <c r="U32" s="453"/>
      <c r="V32" s="740" t="str">
        <f>IF(TITLE_DATE_PR_CHANGE="",IF(TITLE_DATE_PR="","",TITLE_DATE_PR),TITLE_DATE_PR_CHANGE)</f>
        <v/>
      </c>
      <c r="W32" s="740"/>
      <c r="X32" s="740"/>
      <c r="Y32" s="740"/>
      <c r="Z32" s="740"/>
      <c r="AA32" s="740"/>
      <c r="AB32" s="4"/>
      <c r="AC32" s="740" t="str">
        <f>IF(TITLE_DATE_PR_CHANGE="",IF(TITLE_DATE_PR="","",TITLE_DATE_PR),TITLE_DATE_PR_CHANGE)</f>
        <v/>
      </c>
      <c r="AD32" s="740"/>
      <c r="AE32" s="740"/>
      <c r="AF32" s="740"/>
      <c r="AG32" s="740"/>
      <c r="AH32" s="740"/>
      <c r="AI32" s="4"/>
      <c r="AJ32" s="4"/>
      <c r="AK32" s="96"/>
      <c r="AL32" s="46"/>
      <c r="AM32" s="46"/>
      <c r="AN32" s="46"/>
      <c r="AO32" s="46"/>
      <c r="AP32" s="46"/>
      <c r="AQ32" s="22">
        <v>0</v>
      </c>
    </row>
    <row r="33" spans="1:43" s="22" customFormat="1" ht="18.75" hidden="1" customHeight="1">
      <c r="A33" s="43"/>
      <c r="B33" s="43"/>
      <c r="C33" s="43"/>
      <c r="D33" s="43"/>
      <c r="E33" s="43"/>
      <c r="F33" s="43"/>
      <c r="G33" s="43"/>
      <c r="H33" s="43"/>
      <c r="I33" s="43"/>
      <c r="J33" s="43"/>
      <c r="K33" s="43"/>
      <c r="L33" s="43"/>
      <c r="M33" s="43"/>
      <c r="N33" s="43"/>
      <c r="O33" s="43"/>
      <c r="S33" s="721" t="s">
        <v>429</v>
      </c>
      <c r="T33" s="721"/>
      <c r="U33" s="453"/>
      <c r="V33" s="741" t="str">
        <f>IF(TITLE_NUMBER_PR_CHANGE="",IF(TITLE_NUMBER_PR="","",TITLE_NUMBER_PR),TITLE_NUMBER_PR_CHANGE)</f>
        <v/>
      </c>
      <c r="W33" s="741"/>
      <c r="X33" s="741"/>
      <c r="Y33" s="741"/>
      <c r="Z33" s="741"/>
      <c r="AA33" s="741"/>
      <c r="AB33" s="4"/>
      <c r="AC33" s="741" t="str">
        <f>IF(TITLE_NUMBER_PR_CHANGE="",IF(TITLE_NUMBER_PR="","",TITLE_NUMBER_PR),TITLE_NUMBER_PR_CHANGE)</f>
        <v/>
      </c>
      <c r="AD33" s="741"/>
      <c r="AE33" s="741"/>
      <c r="AF33" s="741"/>
      <c r="AG33" s="741"/>
      <c r="AH33" s="741"/>
      <c r="AI33" s="4"/>
      <c r="AJ33" s="4"/>
      <c r="AK33" s="96"/>
      <c r="AL33" s="46"/>
      <c r="AM33" s="46"/>
      <c r="AN33" s="46"/>
      <c r="AO33" s="46"/>
      <c r="AP33" s="46"/>
      <c r="AQ33" s="22">
        <v>0</v>
      </c>
    </row>
    <row r="34" spans="1:43" s="22" customFormat="1" ht="1.1499999999999999" customHeight="1">
      <c r="A34" s="43"/>
      <c r="B34" s="43"/>
      <c r="C34" s="43"/>
      <c r="D34" s="43"/>
      <c r="E34" s="43"/>
      <c r="F34" s="43"/>
      <c r="G34" s="43"/>
      <c r="H34" s="43"/>
      <c r="I34" s="43"/>
      <c r="J34" s="43"/>
      <c r="K34" s="43"/>
      <c r="L34" s="43"/>
      <c r="M34" s="43"/>
      <c r="N34" s="43"/>
      <c r="O34" s="43"/>
      <c r="S34" s="4"/>
      <c r="T34" s="4"/>
      <c r="U34" s="4"/>
      <c r="V34" s="4"/>
      <c r="W34" s="4"/>
      <c r="X34" s="4"/>
      <c r="Y34" s="4"/>
      <c r="Z34" s="4"/>
      <c r="AA34" s="4"/>
      <c r="AB34" s="46" t="s">
        <v>430</v>
      </c>
      <c r="AC34" s="4"/>
      <c r="AD34" s="4"/>
      <c r="AE34" s="4"/>
      <c r="AF34" s="4"/>
      <c r="AG34" s="4"/>
      <c r="AH34" s="4"/>
      <c r="AI34" s="46" t="s">
        <v>430</v>
      </c>
      <c r="AL34" s="46"/>
      <c r="AM34" s="46"/>
      <c r="AN34" s="46"/>
      <c r="AO34" s="46"/>
      <c r="AP34" s="46"/>
      <c r="AQ34" s="22">
        <v>1</v>
      </c>
    </row>
    <row r="35" spans="1:43" ht="14.65" customHeight="1">
      <c r="Q35" s="19"/>
      <c r="R35" s="19"/>
      <c r="S35" s="6"/>
      <c r="T35" s="6"/>
      <c r="U35" s="420"/>
      <c r="V35" s="755"/>
      <c r="W35" s="755"/>
      <c r="X35" s="755"/>
      <c r="Y35" s="755"/>
      <c r="Z35" s="755"/>
      <c r="AA35" s="755"/>
      <c r="AB35" s="755"/>
      <c r="AC35" s="755"/>
      <c r="AD35" s="755"/>
      <c r="AE35" s="755"/>
      <c r="AF35" s="755"/>
      <c r="AG35" s="755"/>
      <c r="AH35" s="755"/>
      <c r="AI35" s="755"/>
      <c r="AQ35" s="4">
        <v>14</v>
      </c>
    </row>
    <row r="36" spans="1:43" ht="14.65" customHeight="1">
      <c r="Q36" s="19"/>
      <c r="R36" s="19"/>
      <c r="S36" s="679" t="s">
        <v>303</v>
      </c>
      <c r="T36" s="679"/>
      <c r="U36" s="679"/>
      <c r="V36" s="679"/>
      <c r="W36" s="679"/>
      <c r="X36" s="679"/>
      <c r="Y36" s="679"/>
      <c r="Z36" s="679"/>
      <c r="AA36" s="679"/>
      <c r="AB36" s="679"/>
      <c r="AC36" s="679"/>
      <c r="AD36" s="679"/>
      <c r="AE36" s="679"/>
      <c r="AF36" s="679"/>
      <c r="AG36" s="679"/>
      <c r="AH36" s="679"/>
      <c r="AI36" s="679"/>
      <c r="AJ36" s="679"/>
      <c r="AK36" s="679" t="s">
        <v>304</v>
      </c>
      <c r="AQ36" s="4">
        <v>14</v>
      </c>
    </row>
    <row r="37" spans="1:43" ht="14.65" customHeight="1">
      <c r="Q37" s="19"/>
      <c r="R37" s="19"/>
      <c r="S37" s="722" t="s">
        <v>88</v>
      </c>
      <c r="T37" s="722" t="s">
        <v>431</v>
      </c>
      <c r="U37" s="100"/>
      <c r="V37" s="756" t="s">
        <v>432</v>
      </c>
      <c r="W37" s="757"/>
      <c r="X37" s="757"/>
      <c r="Y37" s="757"/>
      <c r="Z37" s="757"/>
      <c r="AA37" s="758"/>
      <c r="AB37" s="724" t="s">
        <v>433</v>
      </c>
      <c r="AC37" s="756" t="s">
        <v>432</v>
      </c>
      <c r="AD37" s="757"/>
      <c r="AE37" s="757"/>
      <c r="AF37" s="757"/>
      <c r="AG37" s="757"/>
      <c r="AH37" s="758"/>
      <c r="AI37" s="724" t="s">
        <v>434</v>
      </c>
      <c r="AJ37" s="759" t="s">
        <v>435</v>
      </c>
      <c r="AK37" s="679"/>
      <c r="AQ37" s="4">
        <v>14</v>
      </c>
    </row>
    <row r="38" spans="1:43" ht="35.65" customHeight="1">
      <c r="Q38" s="19"/>
      <c r="R38" s="19"/>
      <c r="S38" s="722"/>
      <c r="T38" s="722"/>
      <c r="U38" s="349"/>
      <c r="V38" s="100" t="s">
        <v>492</v>
      </c>
      <c r="W38" s="662" t="s">
        <v>438</v>
      </c>
      <c r="X38" s="661"/>
      <c r="Y38" s="662" t="s">
        <v>439</v>
      </c>
      <c r="Z38" s="666"/>
      <c r="AA38" s="661"/>
      <c r="AB38" s="725"/>
      <c r="AC38" s="100" t="s">
        <v>492</v>
      </c>
      <c r="AD38" s="662" t="s">
        <v>438</v>
      </c>
      <c r="AE38" s="661"/>
      <c r="AF38" s="662" t="s">
        <v>439</v>
      </c>
      <c r="AG38" s="666"/>
      <c r="AH38" s="661"/>
      <c r="AI38" s="725"/>
      <c r="AJ38" s="760"/>
      <c r="AK38" s="679"/>
      <c r="AQ38" s="4">
        <v>34</v>
      </c>
    </row>
    <row r="39" spans="1:43" ht="90.4" customHeight="1">
      <c r="B39" s="43" t="s">
        <v>140</v>
      </c>
      <c r="C39" s="43" t="s">
        <v>141</v>
      </c>
      <c r="D39" s="43" t="s">
        <v>142</v>
      </c>
      <c r="E39" s="43" t="s">
        <v>440</v>
      </c>
      <c r="F39" s="43" t="s">
        <v>441</v>
      </c>
      <c r="G39" s="43" t="s">
        <v>442</v>
      </c>
      <c r="I39" s="43" t="s">
        <v>493</v>
      </c>
      <c r="J39" s="43" t="s">
        <v>445</v>
      </c>
      <c r="K39" s="43" t="s">
        <v>494</v>
      </c>
      <c r="L39" s="43" t="s">
        <v>421</v>
      </c>
      <c r="Q39" s="19"/>
      <c r="R39" s="19"/>
      <c r="S39" s="722"/>
      <c r="T39" s="722"/>
      <c r="U39" s="101"/>
      <c r="V39" s="100" t="s">
        <v>521</v>
      </c>
      <c r="W39" s="27" t="s">
        <v>522</v>
      </c>
      <c r="X39" s="27" t="s">
        <v>497</v>
      </c>
      <c r="Y39" s="27" t="s">
        <v>449</v>
      </c>
      <c r="Z39" s="728" t="s">
        <v>450</v>
      </c>
      <c r="AA39" s="734"/>
      <c r="AB39" s="726"/>
      <c r="AC39" s="100" t="s">
        <v>521</v>
      </c>
      <c r="AD39" s="27" t="s">
        <v>522</v>
      </c>
      <c r="AE39" s="27" t="s">
        <v>497</v>
      </c>
      <c r="AF39" s="27" t="s">
        <v>449</v>
      </c>
      <c r="AG39" s="728" t="s">
        <v>450</v>
      </c>
      <c r="AH39" s="734"/>
      <c r="AI39" s="726"/>
      <c r="AJ39" s="761"/>
      <c r="AK39" s="679"/>
      <c r="AQ39" s="4">
        <v>86</v>
      </c>
    </row>
    <row r="40" spans="1:43" s="117" customFormat="1" ht="11.25" hidden="1" customHeight="1">
      <c r="A40" s="43"/>
      <c r="B40" s="43"/>
      <c r="C40" s="43"/>
      <c r="D40" s="43"/>
      <c r="E40" s="43"/>
      <c r="F40" s="43"/>
      <c r="G40" s="43"/>
      <c r="H40" s="43"/>
      <c r="I40" s="43"/>
      <c r="J40" s="43"/>
      <c r="K40" s="43"/>
      <c r="L40" s="43"/>
      <c r="M40" s="167"/>
      <c r="N40" s="167"/>
      <c r="O40" s="167"/>
      <c r="P40" s="178"/>
      <c r="Q40" s="422"/>
      <c r="R40" s="424">
        <v>1</v>
      </c>
      <c r="S40" s="425" t="s">
        <v>110</v>
      </c>
      <c r="T40" s="425" t="s">
        <v>111</v>
      </c>
      <c r="U40" s="421" t="str">
        <f ca="1">OFFSET(U40,0,-1)</f>
        <v>2</v>
      </c>
      <c r="V40" s="426">
        <f ca="1">OFFSET(V40,0,-1)+1</f>
        <v>3</v>
      </c>
      <c r="W40" s="426">
        <f ca="1">OFFSET(W40,0,-1)+1</f>
        <v>4</v>
      </c>
      <c r="X40" s="426">
        <f ca="1">OFFSET(X40,0,-1)+1</f>
        <v>5</v>
      </c>
      <c r="Y40" s="426">
        <f ca="1">OFFSET(Y40,0,-1)+1</f>
        <v>6</v>
      </c>
      <c r="Z40" s="754">
        <f ca="1">OFFSET(Z40,0,-1)+1</f>
        <v>7</v>
      </c>
      <c r="AA40" s="754"/>
      <c r="AB40" s="426">
        <f ca="1">OFFSET(AB40,0,-2)+1</f>
        <v>8</v>
      </c>
      <c r="AC40" s="426">
        <f ca="1">OFFSET(AC40,0,-1)+1</f>
        <v>9</v>
      </c>
      <c r="AD40" s="426">
        <f ca="1">OFFSET(AD40,0,-1)+1</f>
        <v>10</v>
      </c>
      <c r="AE40" s="426">
        <f ca="1">OFFSET(AE40,0,-1)+1</f>
        <v>11</v>
      </c>
      <c r="AF40" s="426">
        <f ca="1">OFFSET(AF40,0,-1)+1</f>
        <v>12</v>
      </c>
      <c r="AG40" s="754">
        <f ca="1">OFFSET(AG40,0,-1)+1</f>
        <v>13</v>
      </c>
      <c r="AH40" s="754"/>
      <c r="AI40" s="426">
        <f ca="1">OFFSET(AI40,0,-2)+1</f>
        <v>14</v>
      </c>
      <c r="AJ40" s="421">
        <f ca="1">OFFSET(AJ40,0,-1)</f>
        <v>14</v>
      </c>
      <c r="AK40" s="426">
        <f ca="1">OFFSET(AK40,0,-1)+1</f>
        <v>15</v>
      </c>
      <c r="AL40" s="46"/>
      <c r="AM40" s="46"/>
      <c r="AN40" s="46"/>
      <c r="AO40" s="46"/>
      <c r="AP40" s="46"/>
      <c r="AQ40" s="117">
        <v>0</v>
      </c>
    </row>
    <row r="41" spans="1:43" ht="24" customHeight="1">
      <c r="A41" s="43" t="s">
        <v>269</v>
      </c>
      <c r="E41" s="745">
        <v>1</v>
      </c>
      <c r="M41" s="43"/>
      <c r="N41" s="43"/>
      <c r="O41" s="43"/>
      <c r="Q41" s="4"/>
      <c r="R41" s="119"/>
      <c r="S41" s="24">
        <f>INDEX(PT_DIFFERENTIATION_NUM_NTAR,MATCH(A41,PT_DIFFERENTIATION_NTAR_ID,0))</f>
        <v>0</v>
      </c>
      <c r="T41" s="29" t="s">
        <v>128</v>
      </c>
      <c r="U41" s="29"/>
      <c r="V41" s="742"/>
      <c r="W41" s="743"/>
      <c r="X41" s="743"/>
      <c r="Y41" s="743"/>
      <c r="Z41" s="743"/>
      <c r="AA41" s="743"/>
      <c r="AB41" s="744"/>
      <c r="AC41" s="742" t="str">
        <f>INDEX(PT_DIFFERENTIATION_NTAR,MATCH(A41,PT_DIFFERENTIATION_NTAR_ID,0))</f>
        <v/>
      </c>
      <c r="AD41" s="743"/>
      <c r="AE41" s="743"/>
      <c r="AF41" s="743"/>
      <c r="AG41" s="743"/>
      <c r="AH41" s="743"/>
      <c r="AI41" s="743"/>
      <c r="AJ41" s="744"/>
      <c r="AK41" s="4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N41" s="46" t="str">
        <f t="shared" ref="AN41:AN53" si="1">IF(T41="","",T41)</f>
        <v>Наименование тарифа</v>
      </c>
      <c r="AQ41" s="4">
        <v>23</v>
      </c>
    </row>
    <row r="42" spans="1:43" ht="24" customHeight="1">
      <c r="A42" s="43" t="s">
        <v>269</v>
      </c>
      <c r="B42" s="43" t="s">
        <v>270</v>
      </c>
      <c r="E42" s="747"/>
      <c r="F42" s="745">
        <v>1</v>
      </c>
      <c r="M42" s="43"/>
      <c r="N42" s="43"/>
      <c r="O42" s="43"/>
      <c r="P42" s="4"/>
      <c r="Q42" s="118"/>
      <c r="R42" s="119"/>
      <c r="S42" s="24" t="str">
        <f>INDEX(PT_DIFFERENTIATION_NUM_TER,MATCH(B42,PT_DIFFERENTIATION_TER_ID,0))</f>
        <v>.</v>
      </c>
      <c r="T42" s="24" t="s">
        <v>400</v>
      </c>
      <c r="U42" s="29"/>
      <c r="V42" s="742"/>
      <c r="W42" s="743"/>
      <c r="X42" s="743"/>
      <c r="Y42" s="743"/>
      <c r="Z42" s="743"/>
      <c r="AA42" s="743"/>
      <c r="AB42" s="744"/>
      <c r="AC42" s="742" t="str">
        <f>INDEX(PT_DIFFERENTIATION_TER,MATCH(B42,PT_DIFFERENTIATION_TER_ID,0))</f>
        <v/>
      </c>
      <c r="AD42" s="743"/>
      <c r="AE42" s="743"/>
      <c r="AF42" s="743"/>
      <c r="AG42" s="743"/>
      <c r="AH42" s="743"/>
      <c r="AI42" s="743"/>
      <c r="AJ42" s="744"/>
      <c r="AK42" s="428" t="s">
        <v>401</v>
      </c>
      <c r="AN42" s="46" t="str">
        <f t="shared" si="1"/>
        <v>Территория действия тарифа</v>
      </c>
      <c r="AQ42" s="4">
        <v>23</v>
      </c>
    </row>
    <row r="43" spans="1:43" ht="24" customHeight="1">
      <c r="A43" s="43" t="s">
        <v>269</v>
      </c>
      <c r="B43" s="43" t="s">
        <v>270</v>
      </c>
      <c r="C43" s="43" t="s">
        <v>271</v>
      </c>
      <c r="E43" s="747"/>
      <c r="F43" s="747"/>
      <c r="G43" s="745">
        <v>1</v>
      </c>
      <c r="M43" s="43"/>
      <c r="N43" s="43"/>
      <c r="O43" s="43"/>
      <c r="P43" s="16"/>
      <c r="Q43" s="118"/>
      <c r="R43" s="119"/>
      <c r="S43" s="24" t="str">
        <f>INDEX(PT_DIFFERENTIATION_NUM_CS,MATCH(C43,PT_DIFFERENTIATION_CS_ID,0))</f>
        <v>..</v>
      </c>
      <c r="T43" s="24" t="s">
        <v>519</v>
      </c>
      <c r="U43" s="29"/>
      <c r="V43" s="742"/>
      <c r="W43" s="743"/>
      <c r="X43" s="743"/>
      <c r="Y43" s="743"/>
      <c r="Z43" s="743"/>
      <c r="AA43" s="743"/>
      <c r="AB43" s="744"/>
      <c r="AC43" s="742" t="str">
        <f>INDEX(PT_DIFFERENTIATION_CS,MATCH(C43,PT_DIFFERENTIATION_CS_ID,0))</f>
        <v/>
      </c>
      <c r="AD43" s="743"/>
      <c r="AE43" s="743"/>
      <c r="AF43" s="743"/>
      <c r="AG43" s="743"/>
      <c r="AH43" s="743"/>
      <c r="AI43" s="743"/>
      <c r="AJ43" s="744"/>
      <c r="AK43" s="428" t="s">
        <v>520</v>
      </c>
      <c r="AN43" s="46" t="str">
        <f t="shared" si="1"/>
        <v>Наименование централизованной системы водоотведения</v>
      </c>
      <c r="AQ43" s="4">
        <v>23</v>
      </c>
    </row>
    <row r="44" spans="1:43" ht="24" customHeight="1">
      <c r="A44" s="43" t="s">
        <v>269</v>
      </c>
      <c r="B44" s="43" t="s">
        <v>270</v>
      </c>
      <c r="C44" s="43" t="s">
        <v>271</v>
      </c>
      <c r="D44" s="43" t="s">
        <v>523</v>
      </c>
      <c r="E44" s="747"/>
      <c r="F44" s="747"/>
      <c r="G44" s="747"/>
      <c r="H44" s="747"/>
      <c r="I44" s="745" t="str">
        <f>S43&amp;".1"</f>
        <v>...1</v>
      </c>
      <c r="P44" s="748">
        <v>1</v>
      </c>
      <c r="Q44" s="46"/>
      <c r="R44" s="120"/>
      <c r="S44" s="24" t="str">
        <f>$I44</f>
        <v>...1</v>
      </c>
      <c r="T44" s="24" t="s">
        <v>486</v>
      </c>
      <c r="U44" s="29"/>
      <c r="V44" s="793"/>
      <c r="W44" s="794"/>
      <c r="X44" s="794"/>
      <c r="Y44" s="794"/>
      <c r="Z44" s="794"/>
      <c r="AA44" s="794"/>
      <c r="AB44" s="795"/>
      <c r="AC44" s="793"/>
      <c r="AD44" s="794"/>
      <c r="AE44" s="794"/>
      <c r="AF44" s="794"/>
      <c r="AG44" s="794"/>
      <c r="AH44" s="794"/>
      <c r="AI44" s="794"/>
      <c r="AJ44" s="795"/>
      <c r="AK44" s="428" t="s">
        <v>487</v>
      </c>
      <c r="AN44" s="46" t="str">
        <f t="shared" si="1"/>
        <v>Наименование признака дифференциации</v>
      </c>
      <c r="AQ44" s="4">
        <v>23</v>
      </c>
    </row>
    <row r="45" spans="1:43" ht="24" customHeight="1">
      <c r="A45" s="43" t="s">
        <v>269</v>
      </c>
      <c r="B45" s="43" t="s">
        <v>270</v>
      </c>
      <c r="C45" s="43" t="s">
        <v>271</v>
      </c>
      <c r="D45" s="43" t="s">
        <v>523</v>
      </c>
      <c r="E45" s="747"/>
      <c r="F45" s="747"/>
      <c r="G45" s="747"/>
      <c r="H45" s="747"/>
      <c r="I45" s="747"/>
      <c r="J45" s="745" t="str">
        <f>I44&amp;".1"</f>
        <v>...1.1</v>
      </c>
      <c r="L45" s="43" t="s">
        <v>409</v>
      </c>
      <c r="P45" s="748"/>
      <c r="Q45" s="748">
        <v>1</v>
      </c>
      <c r="R45" s="120"/>
      <c r="S45" s="24" t="str">
        <f>$J45</f>
        <v>...1.1</v>
      </c>
      <c r="T45" s="24" t="s">
        <v>410</v>
      </c>
      <c r="U45" s="29"/>
      <c r="V45" s="737"/>
      <c r="W45" s="738"/>
      <c r="X45" s="738"/>
      <c r="Y45" s="738"/>
      <c r="Z45" s="738"/>
      <c r="AA45" s="738"/>
      <c r="AB45" s="739"/>
      <c r="AC45" s="737"/>
      <c r="AD45" s="738"/>
      <c r="AE45" s="738"/>
      <c r="AF45" s="738"/>
      <c r="AG45" s="738"/>
      <c r="AH45" s="738"/>
      <c r="AI45" s="738"/>
      <c r="AJ45" s="739"/>
      <c r="AK45" s="445" t="s">
        <v>488</v>
      </c>
      <c r="AN45" s="46" t="str">
        <f t="shared" si="1"/>
        <v>Группа потребителей</v>
      </c>
      <c r="AQ45" s="4">
        <v>23</v>
      </c>
    </row>
    <row r="46" spans="1:43" ht="24" customHeight="1">
      <c r="A46" s="43" t="s">
        <v>269</v>
      </c>
      <c r="B46" s="43" t="s">
        <v>270</v>
      </c>
      <c r="C46" s="43" t="s">
        <v>271</v>
      </c>
      <c r="D46" s="43" t="s">
        <v>523</v>
      </c>
      <c r="E46" s="747"/>
      <c r="F46" s="747"/>
      <c r="G46" s="747"/>
      <c r="H46" s="747"/>
      <c r="I46" s="747"/>
      <c r="J46" s="747"/>
      <c r="K46" s="745" t="str">
        <f>J45&amp;".1"</f>
        <v>...1.1.1</v>
      </c>
      <c r="P46" s="748"/>
      <c r="Q46" s="748"/>
      <c r="R46" s="120">
        <v>1</v>
      </c>
      <c r="S46" s="24" t="str">
        <f>$K46</f>
        <v>...1.1.1</v>
      </c>
      <c r="T46" s="25"/>
      <c r="U46" s="29"/>
      <c r="V46" s="205"/>
      <c r="W46" s="205"/>
      <c r="X46" s="451"/>
      <c r="Y46" s="746"/>
      <c r="Z46" s="745" t="s">
        <v>66</v>
      </c>
      <c r="AA46" s="746"/>
      <c r="AB46" s="745" t="s">
        <v>66</v>
      </c>
      <c r="AC46" s="168"/>
      <c r="AD46" s="168"/>
      <c r="AE46" s="427"/>
      <c r="AF46" s="749"/>
      <c r="AG46" s="688" t="s">
        <v>66</v>
      </c>
      <c r="AH46" s="750"/>
      <c r="AI46" s="688" t="s">
        <v>19</v>
      </c>
      <c r="AJ46" s="474"/>
      <c r="AK46" s="79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6" t="e">
        <f ca="1">STRCHECKDATE(V47:AJ47)</f>
        <v>#NAME?</v>
      </c>
      <c r="AN46" s="46" t="str">
        <f t="shared" si="1"/>
        <v/>
      </c>
      <c r="AQ46" s="4">
        <v>23</v>
      </c>
    </row>
    <row r="47" spans="1:43" ht="0" hidden="1" customHeight="1">
      <c r="A47" s="43" t="s">
        <v>269</v>
      </c>
      <c r="B47" s="43" t="s">
        <v>270</v>
      </c>
      <c r="C47" s="43" t="s">
        <v>271</v>
      </c>
      <c r="D47" s="43" t="s">
        <v>523</v>
      </c>
      <c r="E47" s="747"/>
      <c r="F47" s="747"/>
      <c r="G47" s="747"/>
      <c r="H47" s="747"/>
      <c r="I47" s="747"/>
      <c r="J47" s="747"/>
      <c r="K47" s="745"/>
      <c r="P47" s="748"/>
      <c r="Q47" s="748"/>
      <c r="R47" s="120"/>
      <c r="S47" s="31"/>
      <c r="T47" s="29"/>
      <c r="U47" s="29"/>
      <c r="V47" s="205"/>
      <c r="W47" s="205"/>
      <c r="X47" s="111" t="str">
        <f>Y46&amp;"-"&amp;AA46</f>
        <v>-</v>
      </c>
      <c r="Y47" s="745"/>
      <c r="Z47" s="745"/>
      <c r="AA47" s="745"/>
      <c r="AB47" s="745"/>
      <c r="AC47" s="110"/>
      <c r="AD47" s="110"/>
      <c r="AE47" s="111" t="str">
        <f>AF46&amp;"-"&amp;AH46</f>
        <v>-</v>
      </c>
      <c r="AF47" s="707"/>
      <c r="AG47" s="688"/>
      <c r="AH47" s="751"/>
      <c r="AI47" s="688"/>
      <c r="AJ47" s="216"/>
      <c r="AK47" s="796"/>
      <c r="AN47" s="46" t="str">
        <f t="shared" si="1"/>
        <v/>
      </c>
      <c r="AQ47" s="4">
        <v>0</v>
      </c>
    </row>
    <row r="48" spans="1:43" ht="21" customHeight="1">
      <c r="A48" s="43" t="s">
        <v>269</v>
      </c>
      <c r="B48" s="43" t="s">
        <v>270</v>
      </c>
      <c r="C48" s="43" t="s">
        <v>271</v>
      </c>
      <c r="D48" s="43" t="s">
        <v>523</v>
      </c>
      <c r="E48" s="747"/>
      <c r="F48" s="747"/>
      <c r="G48" s="747"/>
      <c r="H48" s="747"/>
      <c r="I48" s="747"/>
      <c r="J48" s="745"/>
      <c r="P48" s="748"/>
      <c r="Q48" s="748"/>
      <c r="R48" s="120"/>
      <c r="S48" s="434"/>
      <c r="T48" s="37" t="s">
        <v>489</v>
      </c>
      <c r="U48" s="58"/>
      <c r="V48" s="58"/>
      <c r="W48" s="58"/>
      <c r="X48" s="58"/>
      <c r="Y48" s="58"/>
      <c r="Z48" s="58"/>
      <c r="AA48" s="58"/>
      <c r="AB48" s="58"/>
      <c r="AC48" s="58"/>
      <c r="AD48" s="58"/>
      <c r="AE48" s="58"/>
      <c r="AF48" s="58"/>
      <c r="AG48" s="58"/>
      <c r="AH48" s="58"/>
      <c r="AI48" s="58"/>
      <c r="AJ48" s="58"/>
      <c r="AK48" s="428" t="s">
        <v>490</v>
      </c>
      <c r="AN48" s="46" t="str">
        <f t="shared" si="1"/>
        <v>Добавить значение признака дифференциации</v>
      </c>
      <c r="AQ48" s="4">
        <v>20</v>
      </c>
    </row>
    <row r="49" spans="1:43" ht="21.95" customHeight="1">
      <c r="A49" s="43" t="s">
        <v>269</v>
      </c>
      <c r="B49" s="43" t="s">
        <v>270</v>
      </c>
      <c r="C49" s="43" t="s">
        <v>271</v>
      </c>
      <c r="D49" s="43" t="s">
        <v>523</v>
      </c>
      <c r="E49" s="747"/>
      <c r="F49" s="747"/>
      <c r="G49" s="747"/>
      <c r="H49" s="747"/>
      <c r="I49" s="745"/>
      <c r="P49" s="748"/>
      <c r="Q49" s="46"/>
      <c r="R49" s="120"/>
      <c r="S49" s="434"/>
      <c r="T49" s="37" t="s">
        <v>415</v>
      </c>
      <c r="U49" s="58"/>
      <c r="V49" s="58"/>
      <c r="W49" s="58"/>
      <c r="X49" s="58"/>
      <c r="Y49" s="58"/>
      <c r="Z49" s="58"/>
      <c r="AA49" s="58"/>
      <c r="AB49" s="54"/>
      <c r="AC49" s="58"/>
      <c r="AD49" s="58"/>
      <c r="AE49" s="58"/>
      <c r="AF49" s="58"/>
      <c r="AG49" s="58"/>
      <c r="AH49" s="58"/>
      <c r="AI49" s="54"/>
      <c r="AJ49" s="58"/>
      <c r="AK49" s="475"/>
      <c r="AN49" s="46" t="str">
        <f t="shared" si="1"/>
        <v>Добавить группу потребителей</v>
      </c>
      <c r="AQ49" s="4">
        <v>21</v>
      </c>
    </row>
    <row r="50" spans="1:43" ht="21.95" customHeight="1">
      <c r="A50" s="43" t="s">
        <v>269</v>
      </c>
      <c r="B50" s="43" t="s">
        <v>270</v>
      </c>
      <c r="C50" s="43" t="s">
        <v>271</v>
      </c>
      <c r="D50" s="43" t="s">
        <v>523</v>
      </c>
      <c r="E50" s="747"/>
      <c r="F50" s="747"/>
      <c r="G50" s="747"/>
      <c r="H50" s="745"/>
      <c r="M50" s="43"/>
      <c r="N50" s="43"/>
      <c r="O50" s="43"/>
      <c r="P50" s="4"/>
      <c r="R50" s="119"/>
      <c r="S50" s="434"/>
      <c r="T50" s="37" t="s">
        <v>491</v>
      </c>
      <c r="U50" s="58"/>
      <c r="V50" s="58"/>
      <c r="W50" s="58"/>
      <c r="X50" s="58"/>
      <c r="Y50" s="58"/>
      <c r="Z50" s="58"/>
      <c r="AA50" s="58"/>
      <c r="AB50" s="54"/>
      <c r="AC50" s="58"/>
      <c r="AD50" s="58"/>
      <c r="AE50" s="58"/>
      <c r="AF50" s="58"/>
      <c r="AG50" s="58"/>
      <c r="AH50" s="58"/>
      <c r="AI50" s="54"/>
      <c r="AJ50" s="58"/>
      <c r="AK50" s="102"/>
      <c r="AN50" s="46" t="str">
        <f t="shared" si="1"/>
        <v>Добавить наименование признака дифференциации</v>
      </c>
      <c r="AQ50" s="4">
        <v>21</v>
      </c>
    </row>
    <row r="51" spans="1:43" s="46" customFormat="1" ht="0" hidden="1" customHeight="1">
      <c r="A51" s="46" t="s">
        <v>269</v>
      </c>
      <c r="B51" s="46" t="s">
        <v>270</v>
      </c>
      <c r="E51" s="747"/>
      <c r="F51" s="745"/>
      <c r="M51" s="160"/>
      <c r="N51" s="160"/>
      <c r="Q51" s="446"/>
      <c r="S51" s="449"/>
      <c r="T51" s="160" t="s">
        <v>418</v>
      </c>
      <c r="U51" s="160"/>
      <c r="V51" s="160"/>
      <c r="W51" s="160"/>
      <c r="X51" s="160"/>
      <c r="Y51" s="160"/>
      <c r="Z51" s="160"/>
      <c r="AA51" s="160"/>
      <c r="AB51" s="160"/>
      <c r="AC51" s="160"/>
      <c r="AD51" s="160"/>
      <c r="AE51" s="160"/>
      <c r="AF51" s="160"/>
      <c r="AG51" s="160"/>
      <c r="AH51" s="160"/>
      <c r="AI51" s="160"/>
      <c r="AJ51" s="160"/>
      <c r="AK51" s="160"/>
      <c r="AN51" s="46" t="str">
        <f t="shared" si="1"/>
        <v>Добавить централизованную систему для дифференциации</v>
      </c>
      <c r="AQ51" s="46">
        <v>0</v>
      </c>
    </row>
    <row r="52" spans="1:43" s="46" customFormat="1" ht="0" hidden="1" customHeight="1">
      <c r="A52" s="46" t="s">
        <v>269</v>
      </c>
      <c r="E52" s="745"/>
      <c r="M52" s="160"/>
      <c r="N52" s="160"/>
      <c r="Q52" s="446"/>
      <c r="S52" s="449"/>
      <c r="T52" s="160" t="s">
        <v>419</v>
      </c>
      <c r="U52" s="160"/>
      <c r="V52" s="160"/>
      <c r="W52" s="160"/>
      <c r="X52" s="160"/>
      <c r="Y52" s="160"/>
      <c r="Z52" s="160"/>
      <c r="AA52" s="160"/>
      <c r="AB52" s="160"/>
      <c r="AC52" s="160"/>
      <c r="AD52" s="160"/>
      <c r="AE52" s="160"/>
      <c r="AF52" s="160"/>
      <c r="AG52" s="160"/>
      <c r="AH52" s="160"/>
      <c r="AI52" s="160"/>
      <c r="AJ52" s="160"/>
      <c r="AK52" s="160"/>
      <c r="AN52" s="46" t="str">
        <f t="shared" si="1"/>
        <v>Добавить территорию для дифференциации</v>
      </c>
      <c r="AQ52" s="46">
        <v>0</v>
      </c>
    </row>
    <row r="53" spans="1:43" s="46" customFormat="1" ht="0" hidden="1" customHeight="1">
      <c r="M53" s="160"/>
      <c r="N53" s="160"/>
      <c r="Q53" s="446"/>
      <c r="S53" s="449"/>
      <c r="T53" s="160" t="s">
        <v>451</v>
      </c>
      <c r="U53" s="160"/>
      <c r="V53" s="160"/>
      <c r="W53" s="160"/>
      <c r="X53" s="160"/>
      <c r="Y53" s="160"/>
      <c r="Z53" s="160"/>
      <c r="AA53" s="160"/>
      <c r="AB53" s="160"/>
      <c r="AC53" s="160"/>
      <c r="AD53" s="160"/>
      <c r="AE53" s="160"/>
      <c r="AF53" s="160"/>
      <c r="AG53" s="160"/>
      <c r="AH53" s="160"/>
      <c r="AI53" s="160"/>
      <c r="AJ53" s="160"/>
      <c r="AK53" s="160"/>
      <c r="AN53" s="46" t="str">
        <f t="shared" si="1"/>
        <v>Добавить наименование тарифа</v>
      </c>
      <c r="AQ53" s="46">
        <v>0</v>
      </c>
    </row>
    <row r="54" spans="1:43" ht="11.45" customHeight="1">
      <c r="M54" s="43"/>
      <c r="N54" s="43"/>
      <c r="O54" s="43"/>
      <c r="P54" s="4"/>
      <c r="Q54" s="4"/>
      <c r="R54" s="4"/>
      <c r="AL54" s="4"/>
      <c r="AM54" s="4"/>
      <c r="AN54" s="4"/>
      <c r="AO54" s="4"/>
      <c r="AP54" s="4"/>
      <c r="AQ54" s="4">
        <v>11</v>
      </c>
    </row>
    <row r="55" spans="1:43" ht="14.65" customHeight="1">
      <c r="O55" s="43"/>
      <c r="T55" s="665"/>
      <c r="U55" s="665"/>
      <c r="V55" s="665"/>
      <c r="W55" s="665"/>
      <c r="X55" s="665"/>
      <c r="Y55" s="665"/>
      <c r="Z55" s="665"/>
      <c r="AA55" s="665"/>
      <c r="AB55" s="665"/>
      <c r="AC55" s="665"/>
      <c r="AD55" s="665"/>
      <c r="AE55" s="665"/>
      <c r="AF55" s="665"/>
      <c r="AG55" s="665"/>
      <c r="AH55" s="665"/>
      <c r="AI55" s="665"/>
      <c r="AJ55" s="665"/>
      <c r="AK55" s="665"/>
      <c r="AQ55" s="4">
        <v>14</v>
      </c>
    </row>
    <row r="56" spans="1:43" ht="14.65" customHeight="1">
      <c r="O56" s="43"/>
      <c r="AQ56" s="4">
        <v>14</v>
      </c>
    </row>
    <row r="57" spans="1:43" ht="14.65" customHeight="1">
      <c r="O57" s="43"/>
      <c r="T57" s="665"/>
      <c r="U57" s="665"/>
      <c r="V57" s="665"/>
      <c r="W57" s="665"/>
      <c r="X57" s="665"/>
      <c r="Y57" s="665"/>
      <c r="Z57" s="665"/>
      <c r="AA57" s="665"/>
      <c r="AB57" s="665"/>
      <c r="AC57" s="665"/>
      <c r="AD57" s="665"/>
      <c r="AE57" s="665"/>
      <c r="AF57" s="665"/>
      <c r="AG57" s="665"/>
      <c r="AH57" s="665"/>
      <c r="AI57" s="665"/>
      <c r="AJ57" s="665"/>
      <c r="AK57" s="665"/>
      <c r="AQ57" s="4">
        <v>14</v>
      </c>
    </row>
    <row r="58" spans="1:43" ht="22.5" hidden="1" customHeight="1">
      <c r="A58" s="43" t="s">
        <v>82</v>
      </c>
      <c r="B58" s="43">
        <v>0</v>
      </c>
      <c r="C58" s="43">
        <v>0</v>
      </c>
      <c r="D58" s="43">
        <v>0</v>
      </c>
      <c r="E58" s="43">
        <v>0</v>
      </c>
      <c r="F58" s="43">
        <v>0</v>
      </c>
      <c r="G58" s="43">
        <v>0</v>
      </c>
      <c r="H58" s="43">
        <v>0</v>
      </c>
      <c r="I58" s="43">
        <v>0</v>
      </c>
      <c r="J58" s="43">
        <v>0</v>
      </c>
      <c r="K58" s="43">
        <v>0</v>
      </c>
      <c r="L58" s="43">
        <v>0</v>
      </c>
      <c r="M58" s="167">
        <v>0</v>
      </c>
      <c r="N58" s="167">
        <v>0</v>
      </c>
      <c r="O58" s="167">
        <v>0</v>
      </c>
      <c r="P58" s="23">
        <v>3</v>
      </c>
      <c r="Q58" s="20">
        <v>3</v>
      </c>
      <c r="R58" s="20">
        <v>3</v>
      </c>
      <c r="S58" s="4">
        <v>12</v>
      </c>
      <c r="T58" s="4">
        <v>35</v>
      </c>
      <c r="U58" s="4">
        <v>0</v>
      </c>
      <c r="V58" s="4">
        <v>0</v>
      </c>
      <c r="W58" s="4">
        <v>0</v>
      </c>
      <c r="X58" s="4">
        <v>0</v>
      </c>
      <c r="Y58" s="4">
        <v>0</v>
      </c>
      <c r="Z58" s="4">
        <v>0</v>
      </c>
      <c r="AA58" s="4">
        <v>0</v>
      </c>
      <c r="AB58" s="4">
        <v>0</v>
      </c>
      <c r="AC58" s="4">
        <v>24</v>
      </c>
      <c r="AD58" s="4">
        <v>24</v>
      </c>
      <c r="AE58" s="4">
        <v>24</v>
      </c>
      <c r="AF58" s="4">
        <v>11</v>
      </c>
      <c r="AG58" s="4">
        <v>3</v>
      </c>
      <c r="AH58" s="4">
        <v>11</v>
      </c>
      <c r="AI58" s="4">
        <v>0</v>
      </c>
      <c r="AJ58" s="4">
        <v>4</v>
      </c>
      <c r="AK58" s="4">
        <v>115</v>
      </c>
      <c r="AL58" s="46">
        <v>10</v>
      </c>
      <c r="AM58" s="46">
        <v>10</v>
      </c>
      <c r="AN58" s="46">
        <v>10</v>
      </c>
      <c r="AO58" s="46">
        <v>10</v>
      </c>
      <c r="AP58" s="46">
        <v>10</v>
      </c>
      <c r="AQ58" s="4">
        <v>23</v>
      </c>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xr:uid="{00000000-0002-0000-1A00-000000000000}"/>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xr:uid="{00000000-0002-0000-1A00-000001000000}">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xr:uid="{00000000-0002-0000-1A00-000002000000}">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xr:uid="{00000000-0002-0000-1A00-000003000000}">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xr:uid="{00000000-0002-0000-1A00-000004000000}"/>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xr:uid="{00000000-0002-0000-1A00-000005000000}"/>
    <dataValidation allowBlank="1" sqref="S131116:AK131122 S196652:AK196658 S262188:AK262194 S327724:AK327730 S393260:AK393266 S458796:AK458802 S524332:AK524338 S589868:AK589874 S655404:AK655410 S720940:AK720946 S786476:AK786482 S852012:AK852018 S917548:AK917554 S983084:AK983090 S65580:AK65586" xr:uid="{00000000-0002-0000-1A00-000006000000}"/>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xr:uid="{00000000-0002-0000-1A00-000007000000}">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F379D2-730B-5FEC-444B-3875A3B1179D}">
  <sheetPr>
    <tabColor theme="6" tint="0.39997558519241921"/>
  </sheetPr>
  <dimension ref="A1:AQ58"/>
  <sheetViews>
    <sheetView showGridLines="0" zoomScale="90" workbookViewId="0">
      <pane xSplit="28" ySplit="40" topLeftCell="AC41" activePane="bottomRight" state="frozen"/>
      <selection pane="topRight" activeCell="AC1" sqref="AC1"/>
      <selection pane="bottomLeft" activeCell="A41" sqref="A41"/>
      <selection pane="bottomRight"/>
    </sheetView>
  </sheetViews>
  <sheetFormatPr defaultColWidth="10.5703125" defaultRowHeight="14.25" customHeight="1"/>
  <cols>
    <col min="1" max="1" width="10.5703125" style="43" hidden="1"/>
    <col min="2" max="2" width="11" style="43" hidden="1" customWidth="1"/>
    <col min="3" max="3" width="10.5703125" style="43" hidden="1"/>
    <col min="4" max="4" width="11.85546875" style="43" hidden="1" customWidth="1"/>
    <col min="5" max="5" width="10" style="43" hidden="1" customWidth="1"/>
    <col min="6" max="6" width="8.7109375" style="43" hidden="1" customWidth="1"/>
    <col min="7" max="7" width="7.5703125" style="43" hidden="1" customWidth="1"/>
    <col min="8" max="8" width="11.42578125" style="43" hidden="1" customWidth="1"/>
    <col min="9" max="9" width="14.140625" style="43" hidden="1" customWidth="1"/>
    <col min="10" max="10" width="9.85546875" style="43" hidden="1" customWidth="1"/>
    <col min="11" max="11" width="14.7109375" style="43" hidden="1" customWidth="1"/>
    <col min="12" max="12" width="19.140625" style="43" hidden="1" customWidth="1"/>
    <col min="13" max="14" width="12.28515625" style="167" hidden="1" customWidth="1"/>
    <col min="15" max="15" width="23.42578125" style="167" hidden="1" customWidth="1"/>
    <col min="16" max="16" width="3" style="23" customWidth="1"/>
    <col min="17" max="18" width="3" style="20" customWidth="1"/>
    <col min="19" max="19" width="12" style="4" customWidth="1"/>
    <col min="20" max="20" width="35" style="4" customWidth="1"/>
    <col min="21" max="21" width="0.140625" style="4" customWidth="1"/>
    <col min="22" max="24" width="24.7109375" style="4" hidden="1" customWidth="1"/>
    <col min="25" max="25" width="11.7109375" style="4" hidden="1" customWidth="1"/>
    <col min="26" max="26" width="3.7109375" style="4" hidden="1" customWidth="1"/>
    <col min="27" max="27" width="11.7109375" style="4" hidden="1" customWidth="1"/>
    <col min="28" max="28" width="8.5703125" style="4" hidden="1" customWidth="1"/>
    <col min="29" max="29" width="24.7109375" style="4" customWidth="1"/>
    <col min="30" max="31" width="24" style="4" customWidth="1"/>
    <col min="32" max="32" width="11" style="4" customWidth="1"/>
    <col min="33" max="33" width="3.7109375" style="4" customWidth="1"/>
    <col min="34" max="34" width="11" style="4" customWidth="1"/>
    <col min="35" max="35" width="8.5703125" style="4" hidden="1" customWidth="1"/>
    <col min="36" max="36" width="4" style="4" customWidth="1"/>
    <col min="37" max="37" width="115" style="4" customWidth="1"/>
    <col min="38" max="42" width="10" style="46" customWidth="1"/>
    <col min="43" max="43" width="10.5703125" style="4" hidden="1"/>
  </cols>
  <sheetData>
    <row r="1" spans="5:43" ht="22.5" hidden="1" customHeight="1">
      <c r="AQ1" s="4" t="s">
        <v>14</v>
      </c>
    </row>
    <row r="2" spans="5:43" ht="23.25" hidden="1" customHeight="1">
      <c r="E2" s="745">
        <v>1</v>
      </c>
      <c r="M2" s="43"/>
      <c r="N2" s="43"/>
      <c r="O2" s="43"/>
      <c r="Q2" s="4"/>
      <c r="R2" s="119"/>
      <c r="S2" s="24" t="e">
        <f>INDEX(PT_DIFFERENTIATION_NUM_NTAR,MATCH(A2,PT_DIFFERENTIATION_NTAR_ID,0))</f>
        <v>#N/A</v>
      </c>
      <c r="T2" s="29" t="s">
        <v>128</v>
      </c>
      <c r="U2" s="29"/>
      <c r="V2" s="742"/>
      <c r="W2" s="743"/>
      <c r="X2" s="743"/>
      <c r="Y2" s="743"/>
      <c r="Z2" s="743"/>
      <c r="AA2" s="743"/>
      <c r="AB2" s="744"/>
      <c r="AC2" s="742" t="e">
        <f>INDEX(PT_DIFFERENTIATION_NTAR,MATCH(A2,PT_DIFFERENTIATION_NTAR_ID,0))</f>
        <v>#N/A</v>
      </c>
      <c r="AD2" s="743"/>
      <c r="AE2" s="743"/>
      <c r="AF2" s="743"/>
      <c r="AG2" s="743"/>
      <c r="AH2" s="743"/>
      <c r="AI2" s="743"/>
      <c r="AJ2" s="744"/>
      <c r="AK2" s="4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N2" s="46" t="str">
        <f t="shared" ref="AN2:AN13" si="0">IF(T2="","",T2)</f>
        <v>Наименование тарифа</v>
      </c>
      <c r="AQ2" s="4">
        <v>0</v>
      </c>
    </row>
    <row r="3" spans="5:43" ht="23.25" hidden="1" customHeight="1">
      <c r="E3" s="747"/>
      <c r="F3" s="745">
        <v>1</v>
      </c>
      <c r="M3" s="43"/>
      <c r="N3" s="43"/>
      <c r="O3" s="43"/>
      <c r="P3" s="4"/>
      <c r="Q3" s="118"/>
      <c r="R3" s="119"/>
      <c r="S3" s="24" t="e">
        <f>INDEX(PT_DIFFERENTIATION_NUM_TER,MATCH(B3,PT_DIFFERENTIATION_TER_ID,0))</f>
        <v>#N/A</v>
      </c>
      <c r="T3" s="24" t="s">
        <v>400</v>
      </c>
      <c r="U3" s="29"/>
      <c r="V3" s="742"/>
      <c r="W3" s="743"/>
      <c r="X3" s="743"/>
      <c r="Y3" s="743"/>
      <c r="Z3" s="743"/>
      <c r="AA3" s="743"/>
      <c r="AB3" s="744"/>
      <c r="AC3" s="742" t="e">
        <f>INDEX(PT_DIFFERENTIATION_TER,MATCH(B3,PT_DIFFERENTIATION_TER_ID,0))</f>
        <v>#N/A</v>
      </c>
      <c r="AD3" s="743"/>
      <c r="AE3" s="743"/>
      <c r="AF3" s="743"/>
      <c r="AG3" s="743"/>
      <c r="AH3" s="743"/>
      <c r="AI3" s="743"/>
      <c r="AJ3" s="744"/>
      <c r="AK3" s="428" t="s">
        <v>401</v>
      </c>
      <c r="AN3" s="46" t="str">
        <f t="shared" si="0"/>
        <v>Территория действия тарифа</v>
      </c>
      <c r="AQ3" s="4">
        <v>0</v>
      </c>
    </row>
    <row r="4" spans="5:43" ht="23.25" hidden="1" customHeight="1">
      <c r="E4" s="747"/>
      <c r="F4" s="747"/>
      <c r="G4" s="745">
        <v>1</v>
      </c>
      <c r="M4" s="43"/>
      <c r="N4" s="43"/>
      <c r="O4" s="43"/>
      <c r="P4" s="16"/>
      <c r="Q4" s="118"/>
      <c r="R4" s="119"/>
      <c r="S4" s="24" t="e">
        <f>INDEX(PT_DIFFERENTIATION_NUM_CS,MATCH(C4,PT_DIFFERENTIATION_CS_ID,0))</f>
        <v>#N/A</v>
      </c>
      <c r="T4" s="24" t="s">
        <v>519</v>
      </c>
      <c r="U4" s="29"/>
      <c r="V4" s="742"/>
      <c r="W4" s="743"/>
      <c r="X4" s="743"/>
      <c r="Y4" s="743"/>
      <c r="Z4" s="743"/>
      <c r="AA4" s="743"/>
      <c r="AB4" s="744"/>
      <c r="AC4" s="742" t="e">
        <f>INDEX(PT_DIFFERENTIATION_CS,MATCH(C4,PT_DIFFERENTIATION_CS_ID,0))</f>
        <v>#N/A</v>
      </c>
      <c r="AD4" s="743"/>
      <c r="AE4" s="743"/>
      <c r="AF4" s="743"/>
      <c r="AG4" s="743"/>
      <c r="AH4" s="743"/>
      <c r="AI4" s="743"/>
      <c r="AJ4" s="744"/>
      <c r="AK4" s="428" t="s">
        <v>520</v>
      </c>
      <c r="AN4" s="46" t="str">
        <f t="shared" si="0"/>
        <v>Наименование централизованной системы водоотведения</v>
      </c>
      <c r="AQ4" s="4">
        <v>0</v>
      </c>
    </row>
    <row r="5" spans="5:43" ht="23.25" hidden="1" customHeight="1">
      <c r="E5" s="747"/>
      <c r="F5" s="747"/>
      <c r="G5" s="747"/>
      <c r="H5" s="747"/>
      <c r="I5" s="745" t="e">
        <f>S4&amp;".1"</f>
        <v>#N/A</v>
      </c>
      <c r="P5" s="748">
        <v>1</v>
      </c>
      <c r="Q5" s="46"/>
      <c r="R5" s="120"/>
      <c r="S5" s="24" t="e">
        <f>$I5</f>
        <v>#N/A</v>
      </c>
      <c r="T5" s="24" t="s">
        <v>486</v>
      </c>
      <c r="U5" s="29"/>
      <c r="V5" s="793"/>
      <c r="W5" s="794"/>
      <c r="X5" s="794"/>
      <c r="Y5" s="794"/>
      <c r="Z5" s="794"/>
      <c r="AA5" s="794"/>
      <c r="AB5" s="795"/>
      <c r="AC5" s="793"/>
      <c r="AD5" s="794"/>
      <c r="AE5" s="794"/>
      <c r="AF5" s="794"/>
      <c r="AG5" s="794"/>
      <c r="AH5" s="794"/>
      <c r="AI5" s="794"/>
      <c r="AJ5" s="795"/>
      <c r="AK5" s="428" t="s">
        <v>487</v>
      </c>
      <c r="AN5" s="46" t="str">
        <f t="shared" si="0"/>
        <v>Наименование признака дифференциации</v>
      </c>
      <c r="AQ5" s="4">
        <v>0</v>
      </c>
    </row>
    <row r="6" spans="5:43" ht="23.25" hidden="1" customHeight="1">
      <c r="E6" s="747"/>
      <c r="F6" s="747"/>
      <c r="G6" s="747"/>
      <c r="H6" s="747"/>
      <c r="I6" s="747"/>
      <c r="J6" s="745" t="e">
        <f>I5&amp;".1"</f>
        <v>#N/A</v>
      </c>
      <c r="L6" s="43" t="s">
        <v>409</v>
      </c>
      <c r="P6" s="748"/>
      <c r="Q6" s="748">
        <v>1</v>
      </c>
      <c r="R6" s="120"/>
      <c r="S6" s="24" t="e">
        <f>$J6</f>
        <v>#N/A</v>
      </c>
      <c r="T6" s="24" t="s">
        <v>410</v>
      </c>
      <c r="U6" s="29"/>
      <c r="V6" s="737"/>
      <c r="W6" s="738"/>
      <c r="X6" s="738"/>
      <c r="Y6" s="738"/>
      <c r="Z6" s="738"/>
      <c r="AA6" s="738"/>
      <c r="AB6" s="739"/>
      <c r="AC6" s="737"/>
      <c r="AD6" s="738"/>
      <c r="AE6" s="738"/>
      <c r="AF6" s="738"/>
      <c r="AG6" s="738"/>
      <c r="AH6" s="738"/>
      <c r="AI6" s="738"/>
      <c r="AJ6" s="739"/>
      <c r="AK6" s="445" t="s">
        <v>488</v>
      </c>
      <c r="AN6" s="46" t="str">
        <f t="shared" si="0"/>
        <v>Группа потребителей</v>
      </c>
      <c r="AQ6" s="4">
        <v>0</v>
      </c>
    </row>
    <row r="7" spans="5:43" ht="23.25" hidden="1" customHeight="1">
      <c r="E7" s="747"/>
      <c r="F7" s="747"/>
      <c r="G7" s="747"/>
      <c r="H7" s="747"/>
      <c r="I7" s="747"/>
      <c r="J7" s="747"/>
      <c r="K7" s="745" t="e">
        <f>J6&amp;".1"</f>
        <v>#N/A</v>
      </c>
      <c r="P7" s="748"/>
      <c r="Q7" s="748"/>
      <c r="R7" s="120">
        <v>1</v>
      </c>
      <c r="S7" s="24" t="e">
        <f>$K7</f>
        <v>#N/A</v>
      </c>
      <c r="T7" s="25"/>
      <c r="U7" s="29"/>
      <c r="V7" s="168"/>
      <c r="W7" s="168"/>
      <c r="X7" s="427"/>
      <c r="Y7" s="749"/>
      <c r="Z7" s="688" t="s">
        <v>66</v>
      </c>
      <c r="AA7" s="749"/>
      <c r="AB7" s="688" t="s">
        <v>66</v>
      </c>
      <c r="AC7" s="168"/>
      <c r="AD7" s="168"/>
      <c r="AE7" s="427"/>
      <c r="AF7" s="749"/>
      <c r="AG7" s="688" t="s">
        <v>66</v>
      </c>
      <c r="AH7" s="750"/>
      <c r="AI7" s="688" t="s">
        <v>66</v>
      </c>
      <c r="AJ7" s="474"/>
      <c r="AK7" s="79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6" t="e">
        <f ca="1">STRCHECKDATE(V8:AJ8)</f>
        <v>#NAME?</v>
      </c>
      <c r="AN7" s="46" t="str">
        <f t="shared" si="0"/>
        <v/>
      </c>
      <c r="AQ7" s="4">
        <v>0</v>
      </c>
    </row>
    <row r="8" spans="5:43" ht="14.25" hidden="1" customHeight="1">
      <c r="E8" s="747"/>
      <c r="F8" s="747"/>
      <c r="G8" s="747"/>
      <c r="H8" s="747"/>
      <c r="I8" s="747"/>
      <c r="J8" s="747"/>
      <c r="K8" s="745"/>
      <c r="P8" s="748"/>
      <c r="Q8" s="748"/>
      <c r="R8" s="120"/>
      <c r="S8" s="31"/>
      <c r="T8" s="29"/>
      <c r="U8" s="29"/>
      <c r="V8" s="110"/>
      <c r="W8" s="110"/>
      <c r="X8" s="111" t="str">
        <f>Y7&amp;"-"&amp;AA7</f>
        <v>-</v>
      </c>
      <c r="Y8" s="707"/>
      <c r="Z8" s="688"/>
      <c r="AA8" s="707"/>
      <c r="AB8" s="688"/>
      <c r="AC8" s="110"/>
      <c r="AD8" s="110"/>
      <c r="AE8" s="111" t="str">
        <f>AF7&amp;"-"&amp;AH7</f>
        <v>-</v>
      </c>
      <c r="AF8" s="707"/>
      <c r="AG8" s="688"/>
      <c r="AH8" s="751"/>
      <c r="AI8" s="688"/>
      <c r="AJ8" s="216"/>
      <c r="AK8" s="796"/>
      <c r="AN8" s="46" t="str">
        <f t="shared" si="0"/>
        <v/>
      </c>
      <c r="AQ8" s="4">
        <v>0</v>
      </c>
    </row>
    <row r="9" spans="5:43" ht="21" hidden="1" customHeight="1">
      <c r="E9" s="747"/>
      <c r="F9" s="747"/>
      <c r="G9" s="747"/>
      <c r="H9" s="747"/>
      <c r="I9" s="747"/>
      <c r="J9" s="745"/>
      <c r="P9" s="748"/>
      <c r="Q9" s="748"/>
      <c r="R9" s="120"/>
      <c r="S9" s="434"/>
      <c r="T9" s="37" t="s">
        <v>489</v>
      </c>
      <c r="U9" s="58"/>
      <c r="V9" s="58"/>
      <c r="W9" s="58"/>
      <c r="X9" s="58"/>
      <c r="Y9" s="58"/>
      <c r="Z9" s="58"/>
      <c r="AA9" s="58"/>
      <c r="AB9" s="58"/>
      <c r="AC9" s="58"/>
      <c r="AD9" s="58"/>
      <c r="AE9" s="58"/>
      <c r="AF9" s="58"/>
      <c r="AG9" s="58"/>
      <c r="AH9" s="58"/>
      <c r="AI9" s="58"/>
      <c r="AJ9" s="58"/>
      <c r="AK9" s="428" t="s">
        <v>490</v>
      </c>
      <c r="AN9" s="46" t="str">
        <f t="shared" si="0"/>
        <v>Добавить значение признака дифференциации</v>
      </c>
      <c r="AQ9" s="4">
        <v>0</v>
      </c>
    </row>
    <row r="10" spans="5:43" ht="21" hidden="1" customHeight="1">
      <c r="E10" s="747"/>
      <c r="F10" s="747"/>
      <c r="G10" s="747"/>
      <c r="H10" s="747"/>
      <c r="I10" s="745"/>
      <c r="P10" s="748"/>
      <c r="Q10" s="46"/>
      <c r="R10" s="120"/>
      <c r="S10" s="434"/>
      <c r="T10" s="37" t="s">
        <v>415</v>
      </c>
      <c r="U10" s="58"/>
      <c r="V10" s="58"/>
      <c r="W10" s="58"/>
      <c r="X10" s="58"/>
      <c r="Y10" s="58"/>
      <c r="Z10" s="58"/>
      <c r="AA10" s="58"/>
      <c r="AB10" s="54"/>
      <c r="AC10" s="58"/>
      <c r="AD10" s="58"/>
      <c r="AE10" s="58"/>
      <c r="AF10" s="58"/>
      <c r="AG10" s="58"/>
      <c r="AH10" s="58"/>
      <c r="AI10" s="54"/>
      <c r="AJ10" s="58"/>
      <c r="AK10" s="475"/>
      <c r="AN10" s="46" t="str">
        <f t="shared" si="0"/>
        <v>Добавить группу потребителей</v>
      </c>
      <c r="AQ10" s="4">
        <v>0</v>
      </c>
    </row>
    <row r="11" spans="5:43" ht="21" hidden="1" customHeight="1">
      <c r="E11" s="747"/>
      <c r="F11" s="747"/>
      <c r="G11" s="747"/>
      <c r="H11" s="745"/>
      <c r="M11" s="43"/>
      <c r="N11" s="43"/>
      <c r="O11" s="43"/>
      <c r="P11" s="4"/>
      <c r="R11" s="119"/>
      <c r="S11" s="434"/>
      <c r="T11" s="37" t="s">
        <v>491</v>
      </c>
      <c r="U11" s="58"/>
      <c r="V11" s="58"/>
      <c r="W11" s="58"/>
      <c r="X11" s="58"/>
      <c r="Y11" s="58"/>
      <c r="Z11" s="58"/>
      <c r="AA11" s="58"/>
      <c r="AB11" s="54"/>
      <c r="AC11" s="58"/>
      <c r="AD11" s="58"/>
      <c r="AE11" s="58"/>
      <c r="AF11" s="58"/>
      <c r="AG11" s="58"/>
      <c r="AH11" s="58"/>
      <c r="AI11" s="54"/>
      <c r="AJ11" s="58"/>
      <c r="AK11" s="102"/>
      <c r="AN11" s="46" t="str">
        <f t="shared" si="0"/>
        <v>Добавить наименование признака дифференциации</v>
      </c>
      <c r="AQ11" s="4">
        <v>0</v>
      </c>
    </row>
    <row r="12" spans="5:43" s="46" customFormat="1" ht="14.25" hidden="1" customHeight="1">
      <c r="E12" s="747"/>
      <c r="F12" s="745"/>
      <c r="M12" s="160"/>
      <c r="N12" s="160"/>
      <c r="Q12" s="446"/>
      <c r="S12" s="449"/>
      <c r="T12" s="160" t="s">
        <v>418</v>
      </c>
      <c r="U12" s="160"/>
      <c r="V12" s="160"/>
      <c r="W12" s="160"/>
      <c r="X12" s="160"/>
      <c r="Y12" s="160"/>
      <c r="Z12" s="160"/>
      <c r="AA12" s="160"/>
      <c r="AB12" s="160"/>
      <c r="AC12" s="160"/>
      <c r="AD12" s="160"/>
      <c r="AE12" s="160"/>
      <c r="AF12" s="160"/>
      <c r="AG12" s="160"/>
      <c r="AH12" s="160"/>
      <c r="AI12" s="160"/>
      <c r="AJ12" s="160"/>
      <c r="AK12" s="160"/>
      <c r="AN12" s="46" t="str">
        <f t="shared" si="0"/>
        <v>Добавить централизованную систему для дифференциации</v>
      </c>
      <c r="AQ12" s="46">
        <v>0</v>
      </c>
    </row>
    <row r="13" spans="5:43" s="46" customFormat="1" ht="14.25" hidden="1" customHeight="1">
      <c r="E13" s="745"/>
      <c r="M13" s="160"/>
      <c r="N13" s="160"/>
      <c r="Q13" s="446"/>
      <c r="S13" s="449"/>
      <c r="T13" s="160" t="s">
        <v>419</v>
      </c>
      <c r="U13" s="160"/>
      <c r="V13" s="160"/>
      <c r="W13" s="160"/>
      <c r="X13" s="160"/>
      <c r="Y13" s="160"/>
      <c r="Z13" s="160"/>
      <c r="AA13" s="160"/>
      <c r="AB13" s="160"/>
      <c r="AC13" s="160"/>
      <c r="AD13" s="160"/>
      <c r="AE13" s="160"/>
      <c r="AF13" s="160"/>
      <c r="AG13" s="160"/>
      <c r="AH13" s="160"/>
      <c r="AI13" s="160"/>
      <c r="AJ13" s="160"/>
      <c r="AK13" s="160"/>
      <c r="AN13" s="46" t="str">
        <f t="shared" si="0"/>
        <v>Добавить территорию для дифференциации</v>
      </c>
      <c r="AQ13" s="46">
        <v>0</v>
      </c>
    </row>
    <row r="14" spans="5:43" ht="14.25" hidden="1" customHeight="1">
      <c r="AQ14" s="4">
        <v>0</v>
      </c>
    </row>
    <row r="15" spans="5:43" ht="14.25" hidden="1" customHeight="1">
      <c r="AC15" s="205"/>
      <c r="AD15" s="205"/>
      <c r="AE15" s="451"/>
      <c r="AF15" s="746"/>
      <c r="AG15" s="745" t="s">
        <v>66</v>
      </c>
      <c r="AH15" s="746"/>
      <c r="AI15" s="745" t="s">
        <v>66</v>
      </c>
      <c r="AQ15" s="4">
        <v>0</v>
      </c>
    </row>
    <row r="16" spans="5:43" ht="14.25" hidden="1" customHeight="1">
      <c r="AC16" s="205"/>
      <c r="AD16" s="205"/>
      <c r="AE16" s="111" t="str">
        <f>AF15&amp;"-"&amp;AH15</f>
        <v>-</v>
      </c>
      <c r="AF16" s="745"/>
      <c r="AG16" s="745"/>
      <c r="AH16" s="745"/>
      <c r="AI16" s="745"/>
      <c r="AQ16" s="4">
        <v>0</v>
      </c>
    </row>
    <row r="17" spans="1:43" ht="14.25" hidden="1" customHeight="1">
      <c r="AQ17" s="4">
        <v>0</v>
      </c>
    </row>
    <row r="18" spans="1:43" s="43" customFormat="1" ht="22.5" hidden="1" customHeight="1">
      <c r="M18" s="167"/>
      <c r="N18" s="167"/>
      <c r="O18" s="261" t="s">
        <v>420</v>
      </c>
      <c r="P18" s="167"/>
      <c r="Q18" s="452"/>
      <c r="R18" s="452"/>
      <c r="Y18" s="261"/>
      <c r="AA18" s="261"/>
      <c r="AF18" s="261"/>
      <c r="AH18" s="261"/>
      <c r="AL18" s="46"/>
      <c r="AM18" s="46"/>
      <c r="AN18" s="46"/>
      <c r="AO18" s="46"/>
      <c r="AP18" s="46"/>
      <c r="AQ18" s="43">
        <v>0</v>
      </c>
    </row>
    <row r="19" spans="1:43" s="43" customFormat="1" ht="14.25" hidden="1" customHeight="1">
      <c r="M19" s="167"/>
      <c r="N19" s="167"/>
      <c r="O19" s="167"/>
      <c r="P19" s="167"/>
      <c r="Q19" s="452"/>
      <c r="R19" s="452"/>
      <c r="AL19" s="46"/>
      <c r="AM19" s="46"/>
      <c r="AN19" s="46"/>
      <c r="AO19" s="46"/>
      <c r="AP19" s="46"/>
      <c r="AQ19" s="43">
        <v>0</v>
      </c>
    </row>
    <row r="20" spans="1:43" s="43" customFormat="1" ht="12" hidden="1" customHeight="1">
      <c r="M20" s="167"/>
      <c r="N20" s="167"/>
      <c r="O20" s="43" t="s">
        <v>421</v>
      </c>
      <c r="P20" s="167"/>
      <c r="Q20" s="476"/>
      <c r="R20" s="476"/>
      <c r="T20" s="43" t="s">
        <v>422</v>
      </c>
      <c r="Z20" s="43" t="s">
        <v>423</v>
      </c>
      <c r="AB20" s="43" t="s">
        <v>424</v>
      </c>
      <c r="AC20" s="43" t="s">
        <v>422</v>
      </c>
      <c r="AG20" s="43" t="s">
        <v>425</v>
      </c>
      <c r="AI20" s="43" t="s">
        <v>424</v>
      </c>
      <c r="AQ20" s="43">
        <v>0</v>
      </c>
    </row>
    <row r="21" spans="1:43" ht="14.25" hidden="1" customHeight="1">
      <c r="O21" s="43"/>
      <c r="AQ21" s="4">
        <v>0</v>
      </c>
    </row>
    <row r="22" spans="1:43" ht="14.25" hidden="1" customHeight="1">
      <c r="O22" s="43"/>
      <c r="AQ22" s="4">
        <v>0</v>
      </c>
    </row>
    <row r="23" spans="1:43" ht="14.65" customHeight="1">
      <c r="Q23" s="19"/>
      <c r="R23" s="19"/>
      <c r="S23" s="6"/>
      <c r="T23" s="6"/>
      <c r="U23" s="6"/>
      <c r="AQ23" s="4">
        <v>14</v>
      </c>
    </row>
    <row r="24" spans="1:43" ht="14.65" customHeight="1">
      <c r="Q24" s="19"/>
      <c r="R24" s="19"/>
      <c r="S24" s="697"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697"/>
      <c r="U24" s="697"/>
      <c r="V24" s="697"/>
      <c r="W24" s="697"/>
      <c r="X24" s="697"/>
      <c r="Y24" s="697"/>
      <c r="Z24" s="697"/>
      <c r="AA24" s="697"/>
      <c r="AB24" s="697"/>
      <c r="AC24" s="697"/>
      <c r="AD24" s="697"/>
      <c r="AE24" s="697"/>
      <c r="AF24" s="697"/>
      <c r="AG24" s="697"/>
      <c r="AH24" s="697"/>
      <c r="AI24" s="40"/>
      <c r="AQ24" s="4">
        <v>14</v>
      </c>
    </row>
    <row r="25" spans="1:43" ht="14.65" customHeight="1">
      <c r="Q25" s="19"/>
      <c r="R25" s="19"/>
      <c r="S25" s="712" t="str">
        <f>IF(org=0,"Не определено",org)</f>
        <v>ООО "Восточная Тепловая компания"</v>
      </c>
      <c r="T25" s="712"/>
      <c r="U25" s="712"/>
      <c r="V25" s="712"/>
      <c r="W25" s="712"/>
      <c r="X25" s="712"/>
      <c r="Y25" s="712"/>
      <c r="Z25" s="712"/>
      <c r="AA25" s="712"/>
      <c r="AB25" s="712"/>
      <c r="AC25" s="712"/>
      <c r="AD25" s="712"/>
      <c r="AE25" s="712"/>
      <c r="AF25" s="712"/>
      <c r="AG25" s="712"/>
      <c r="AH25" s="712"/>
      <c r="AI25" s="40"/>
      <c r="AQ25" s="4">
        <v>14</v>
      </c>
    </row>
    <row r="26" spans="1:43" ht="14.25" hidden="1" customHeight="1">
      <c r="Q26" s="19"/>
      <c r="R26" s="19"/>
      <c r="S26" s="6"/>
      <c r="T26" s="6"/>
      <c r="U26" s="6"/>
      <c r="V26" s="109"/>
      <c r="W26" s="109"/>
      <c r="X26" s="109"/>
      <c r="Y26" s="109"/>
      <c r="Z26" s="109"/>
      <c r="AA26" s="109"/>
      <c r="AB26" s="109"/>
      <c r="AC26" s="109"/>
      <c r="AD26" s="109"/>
      <c r="AE26" s="109"/>
      <c r="AF26" s="109"/>
      <c r="AG26" s="109"/>
      <c r="AH26" s="109"/>
      <c r="AI26" s="109"/>
      <c r="AQ26" s="4">
        <v>0</v>
      </c>
    </row>
    <row r="27" spans="1:43" s="22" customFormat="1" ht="25.5" hidden="1" customHeight="1">
      <c r="A27" s="43"/>
      <c r="B27" s="43"/>
      <c r="C27" s="43"/>
      <c r="D27" s="43"/>
      <c r="E27" s="43"/>
      <c r="F27" s="43"/>
      <c r="G27" s="43"/>
      <c r="H27" s="43"/>
      <c r="I27" s="43"/>
      <c r="J27" s="43"/>
      <c r="K27" s="43"/>
      <c r="L27" s="43"/>
      <c r="M27" s="43"/>
      <c r="N27" s="43"/>
      <c r="O27" s="43"/>
      <c r="S27" s="721" t="s">
        <v>42</v>
      </c>
      <c r="T27" s="721"/>
      <c r="U27" s="453"/>
      <c r="V27" s="741" t="str">
        <f>IF(TITLE_NAME_OR_PR_CHANGE="",IF(TITLE_NAME_OR_PR="","",TITLE_NAME_OR_PR),TITLE_NAME_OR_PR_CHANGE)</f>
        <v/>
      </c>
      <c r="W27" s="741"/>
      <c r="X27" s="741"/>
      <c r="Y27" s="741"/>
      <c r="Z27" s="741"/>
      <c r="AA27" s="741"/>
      <c r="AB27" s="4"/>
      <c r="AC27" s="741" t="str">
        <f>IF(TITLE_NAME_OR_PR_CHANGE="",IF(TITLE_NAME_OR_PR="","",TITLE_NAME_OR_PR),TITLE_NAME_OR_PR_CHANGE)</f>
        <v/>
      </c>
      <c r="AD27" s="741"/>
      <c r="AE27" s="741"/>
      <c r="AF27" s="741"/>
      <c r="AG27" s="741"/>
      <c r="AH27" s="741"/>
      <c r="AI27" s="4"/>
      <c r="AJ27" s="4"/>
      <c r="AK27" s="96"/>
      <c r="AL27" s="46"/>
      <c r="AM27" s="46"/>
      <c r="AN27" s="46"/>
      <c r="AO27" s="46"/>
      <c r="AP27" s="46"/>
      <c r="AQ27" s="22">
        <v>0</v>
      </c>
    </row>
    <row r="28" spans="1:43" s="22" customFormat="1" ht="18.75" hidden="1" customHeight="1">
      <c r="A28" s="43"/>
      <c r="B28" s="43"/>
      <c r="C28" s="43"/>
      <c r="D28" s="43"/>
      <c r="E28" s="43"/>
      <c r="F28" s="43"/>
      <c r="G28" s="43"/>
      <c r="H28" s="43"/>
      <c r="I28" s="43"/>
      <c r="J28" s="43"/>
      <c r="K28" s="43"/>
      <c r="L28" s="43"/>
      <c r="M28" s="43"/>
      <c r="N28" s="43"/>
      <c r="O28" s="43"/>
      <c r="S28" s="721" t="s">
        <v>426</v>
      </c>
      <c r="T28" s="721"/>
      <c r="U28" s="453"/>
      <c r="V28" s="740" t="str">
        <f>IF(TITLE_DATE_PR_CHANGE="",IF(TITLE_DATE_PR="","",TITLE_DATE_PR),TITLE_DATE_PR_CHANGE)</f>
        <v/>
      </c>
      <c r="W28" s="740"/>
      <c r="X28" s="740"/>
      <c r="Y28" s="740"/>
      <c r="Z28" s="740"/>
      <c r="AA28" s="740"/>
      <c r="AB28" s="4"/>
      <c r="AC28" s="740" t="str">
        <f>IF(TITLE_DATE_PR_CHANGE="",IF(TITLE_DATE_PR="","",TITLE_DATE_PR),TITLE_DATE_PR_CHANGE)</f>
        <v/>
      </c>
      <c r="AD28" s="740"/>
      <c r="AE28" s="740"/>
      <c r="AF28" s="740"/>
      <c r="AG28" s="740"/>
      <c r="AH28" s="740"/>
      <c r="AI28" s="4"/>
      <c r="AJ28" s="4"/>
      <c r="AK28" s="96"/>
      <c r="AL28" s="46"/>
      <c r="AM28" s="46"/>
      <c r="AN28" s="46"/>
      <c r="AO28" s="46"/>
      <c r="AP28" s="46"/>
      <c r="AQ28" s="22">
        <v>0</v>
      </c>
    </row>
    <row r="29" spans="1:43" s="22" customFormat="1" ht="18.75" hidden="1" customHeight="1">
      <c r="A29" s="43"/>
      <c r="B29" s="43"/>
      <c r="C29" s="43"/>
      <c r="D29" s="43"/>
      <c r="E29" s="43"/>
      <c r="F29" s="43"/>
      <c r="G29" s="43"/>
      <c r="H29" s="43"/>
      <c r="I29" s="43"/>
      <c r="J29" s="43"/>
      <c r="K29" s="43"/>
      <c r="L29" s="43"/>
      <c r="M29" s="43"/>
      <c r="N29" s="43"/>
      <c r="O29" s="43"/>
      <c r="S29" s="721" t="s">
        <v>427</v>
      </c>
      <c r="T29" s="721"/>
      <c r="U29" s="453"/>
      <c r="V29" s="741" t="str">
        <f>IF(TITLE_NUMBER_PR_CHANGE="",IF(TITLE_NUMBER_PR="","",TITLE_NUMBER_PR),TITLE_NUMBER_PR_CHANGE)</f>
        <v/>
      </c>
      <c r="W29" s="741"/>
      <c r="X29" s="741"/>
      <c r="Y29" s="741"/>
      <c r="Z29" s="741"/>
      <c r="AA29" s="741"/>
      <c r="AB29" s="4"/>
      <c r="AC29" s="741" t="str">
        <f>IF(TITLE_NUMBER_PR_CHANGE="",IF(TITLE_NUMBER_PR="","",TITLE_NUMBER_PR),TITLE_NUMBER_PR_CHANGE)</f>
        <v/>
      </c>
      <c r="AD29" s="741"/>
      <c r="AE29" s="741"/>
      <c r="AF29" s="741"/>
      <c r="AG29" s="741"/>
      <c r="AH29" s="741"/>
      <c r="AI29" s="4"/>
      <c r="AJ29" s="4"/>
      <c r="AK29" s="96"/>
      <c r="AL29" s="46"/>
      <c r="AM29" s="46"/>
      <c r="AN29" s="46"/>
      <c r="AO29" s="46"/>
      <c r="AP29" s="46"/>
      <c r="AQ29" s="22">
        <v>0</v>
      </c>
    </row>
    <row r="30" spans="1:43" s="22" customFormat="1" ht="18.75" hidden="1" customHeight="1">
      <c r="A30" s="43"/>
      <c r="B30" s="43"/>
      <c r="C30" s="43"/>
      <c r="D30" s="43"/>
      <c r="E30" s="43"/>
      <c r="F30" s="43"/>
      <c r="G30" s="43"/>
      <c r="H30" s="43"/>
      <c r="I30" s="43"/>
      <c r="J30" s="43"/>
      <c r="K30" s="43"/>
      <c r="L30" s="43"/>
      <c r="M30" s="43"/>
      <c r="N30" s="43"/>
      <c r="O30" s="43"/>
      <c r="S30" s="721" t="s">
        <v>43</v>
      </c>
      <c r="T30" s="721"/>
      <c r="U30" s="453"/>
      <c r="V30" s="741" t="str">
        <f>IF(TITLE_IST_PUB_CHANGE="",IF(TITLE_IST_PUB="","",TITLE_IST_PUB),TITLE_IST_PUB_CHANGE)</f>
        <v/>
      </c>
      <c r="W30" s="741"/>
      <c r="X30" s="741"/>
      <c r="Y30" s="741"/>
      <c r="Z30" s="741"/>
      <c r="AA30" s="741"/>
      <c r="AB30" s="4"/>
      <c r="AC30" s="741" t="str">
        <f>IF(TITLE_IST_PUB_CHANGE="",IF(TITLE_IST_PUB="","",TITLE_IST_PUB),TITLE_IST_PUB_CHANGE)</f>
        <v/>
      </c>
      <c r="AD30" s="741"/>
      <c r="AE30" s="741"/>
      <c r="AF30" s="741"/>
      <c r="AG30" s="741"/>
      <c r="AH30" s="741"/>
      <c r="AI30" s="4"/>
      <c r="AJ30" s="4"/>
      <c r="AK30" s="96"/>
      <c r="AL30" s="46"/>
      <c r="AM30" s="46"/>
      <c r="AN30" s="46"/>
      <c r="AO30" s="46"/>
      <c r="AP30" s="46"/>
      <c r="AQ30" s="22">
        <v>0</v>
      </c>
    </row>
    <row r="31" spans="1:43" ht="14.25" hidden="1" customHeight="1">
      <c r="Q31" s="19"/>
      <c r="R31" s="19"/>
      <c r="S31" s="6"/>
      <c r="T31" s="6"/>
      <c r="U31" s="6"/>
      <c r="V31" s="109"/>
      <c r="W31" s="109"/>
      <c r="X31" s="109"/>
      <c r="Y31" s="109"/>
      <c r="Z31" s="109"/>
      <c r="AA31" s="109"/>
      <c r="AB31" s="109"/>
      <c r="AC31" s="109"/>
      <c r="AD31" s="109"/>
      <c r="AE31" s="109"/>
      <c r="AF31" s="109"/>
      <c r="AG31" s="109"/>
      <c r="AH31" s="109"/>
      <c r="AI31" s="109"/>
      <c r="AQ31" s="4">
        <v>0</v>
      </c>
    </row>
    <row r="32" spans="1:43" s="22" customFormat="1" ht="18.75" hidden="1" customHeight="1">
      <c r="A32" s="43"/>
      <c r="B32" s="43"/>
      <c r="C32" s="43"/>
      <c r="D32" s="43"/>
      <c r="E32" s="43"/>
      <c r="F32" s="43"/>
      <c r="G32" s="43"/>
      <c r="H32" s="43"/>
      <c r="I32" s="43"/>
      <c r="J32" s="43"/>
      <c r="K32" s="43"/>
      <c r="L32" s="43"/>
      <c r="M32" s="43"/>
      <c r="N32" s="43"/>
      <c r="O32" s="43"/>
      <c r="S32" s="721" t="s">
        <v>428</v>
      </c>
      <c r="T32" s="721"/>
      <c r="U32" s="453"/>
      <c r="V32" s="740" t="str">
        <f>IF(TITLE_DATE_PR_CHANGE="",IF(TITLE_DATE_PR="","",TITLE_DATE_PR),TITLE_DATE_PR_CHANGE)</f>
        <v/>
      </c>
      <c r="W32" s="740"/>
      <c r="X32" s="740"/>
      <c r="Y32" s="740"/>
      <c r="Z32" s="740"/>
      <c r="AA32" s="740"/>
      <c r="AB32" s="4"/>
      <c r="AC32" s="740" t="str">
        <f>IF(TITLE_DATE_PR_CHANGE="",IF(TITLE_DATE_PR="","",TITLE_DATE_PR),TITLE_DATE_PR_CHANGE)</f>
        <v/>
      </c>
      <c r="AD32" s="740"/>
      <c r="AE32" s="740"/>
      <c r="AF32" s="740"/>
      <c r="AG32" s="740"/>
      <c r="AH32" s="740"/>
      <c r="AI32" s="4"/>
      <c r="AJ32" s="4"/>
      <c r="AK32" s="96"/>
      <c r="AL32" s="46"/>
      <c r="AM32" s="46"/>
      <c r="AN32" s="46"/>
      <c r="AO32" s="46"/>
      <c r="AP32" s="46"/>
      <c r="AQ32" s="22">
        <v>0</v>
      </c>
    </row>
    <row r="33" spans="1:43" s="22" customFormat="1" ht="18.75" hidden="1" customHeight="1">
      <c r="A33" s="43"/>
      <c r="B33" s="43"/>
      <c r="C33" s="43"/>
      <c r="D33" s="43"/>
      <c r="E33" s="43"/>
      <c r="F33" s="43"/>
      <c r="G33" s="43"/>
      <c r="H33" s="43"/>
      <c r="I33" s="43"/>
      <c r="J33" s="43"/>
      <c r="K33" s="43"/>
      <c r="L33" s="43"/>
      <c r="M33" s="43"/>
      <c r="N33" s="43"/>
      <c r="O33" s="43"/>
      <c r="S33" s="721" t="s">
        <v>429</v>
      </c>
      <c r="T33" s="721"/>
      <c r="U33" s="453"/>
      <c r="V33" s="741" t="str">
        <f>IF(TITLE_NUMBER_PR_CHANGE="",IF(TITLE_NUMBER_PR="","",TITLE_NUMBER_PR),TITLE_NUMBER_PR_CHANGE)</f>
        <v/>
      </c>
      <c r="W33" s="741"/>
      <c r="X33" s="741"/>
      <c r="Y33" s="741"/>
      <c r="Z33" s="741"/>
      <c r="AA33" s="741"/>
      <c r="AB33" s="4"/>
      <c r="AC33" s="741" t="str">
        <f>IF(TITLE_NUMBER_PR_CHANGE="",IF(TITLE_NUMBER_PR="","",TITLE_NUMBER_PR),TITLE_NUMBER_PR_CHANGE)</f>
        <v/>
      </c>
      <c r="AD33" s="741"/>
      <c r="AE33" s="741"/>
      <c r="AF33" s="741"/>
      <c r="AG33" s="741"/>
      <c r="AH33" s="741"/>
      <c r="AI33" s="4"/>
      <c r="AJ33" s="4"/>
      <c r="AK33" s="96"/>
      <c r="AL33" s="46"/>
      <c r="AM33" s="46"/>
      <c r="AN33" s="46"/>
      <c r="AO33" s="46"/>
      <c r="AP33" s="46"/>
      <c r="AQ33" s="22">
        <v>0</v>
      </c>
    </row>
    <row r="34" spans="1:43" s="22" customFormat="1" ht="1.1499999999999999" customHeight="1">
      <c r="A34" s="43"/>
      <c r="B34" s="43"/>
      <c r="C34" s="43"/>
      <c r="D34" s="43"/>
      <c r="E34" s="43"/>
      <c r="F34" s="43"/>
      <c r="G34" s="43"/>
      <c r="H34" s="43"/>
      <c r="I34" s="43"/>
      <c r="J34" s="43"/>
      <c r="K34" s="43"/>
      <c r="L34" s="43"/>
      <c r="M34" s="43"/>
      <c r="N34" s="43"/>
      <c r="O34" s="43"/>
      <c r="S34" s="4"/>
      <c r="T34" s="4"/>
      <c r="U34" s="4"/>
      <c r="V34" s="4"/>
      <c r="W34" s="4"/>
      <c r="X34" s="4"/>
      <c r="Y34" s="4"/>
      <c r="Z34" s="4"/>
      <c r="AA34" s="4"/>
      <c r="AB34" s="46" t="s">
        <v>430</v>
      </c>
      <c r="AC34" s="4"/>
      <c r="AD34" s="4"/>
      <c r="AE34" s="4"/>
      <c r="AF34" s="4"/>
      <c r="AG34" s="4"/>
      <c r="AH34" s="4"/>
      <c r="AI34" s="46" t="s">
        <v>430</v>
      </c>
      <c r="AL34" s="46"/>
      <c r="AM34" s="46"/>
      <c r="AN34" s="46"/>
      <c r="AO34" s="46"/>
      <c r="AP34" s="46"/>
      <c r="AQ34" s="22">
        <v>1</v>
      </c>
    </row>
    <row r="35" spans="1:43" ht="14.65" customHeight="1">
      <c r="Q35" s="19"/>
      <c r="R35" s="19"/>
      <c r="S35" s="6"/>
      <c r="T35" s="6"/>
      <c r="U35" s="420"/>
      <c r="V35" s="755"/>
      <c r="W35" s="755"/>
      <c r="X35" s="755"/>
      <c r="Y35" s="755"/>
      <c r="Z35" s="755"/>
      <c r="AA35" s="755"/>
      <c r="AB35" s="755"/>
      <c r="AC35" s="755"/>
      <c r="AD35" s="755"/>
      <c r="AE35" s="755"/>
      <c r="AF35" s="755"/>
      <c r="AG35" s="755"/>
      <c r="AH35" s="755"/>
      <c r="AI35" s="755"/>
      <c r="AQ35" s="4">
        <v>14</v>
      </c>
    </row>
    <row r="36" spans="1:43" ht="14.65" customHeight="1">
      <c r="Q36" s="19"/>
      <c r="R36" s="19"/>
      <c r="S36" s="679" t="s">
        <v>303</v>
      </c>
      <c r="T36" s="679"/>
      <c r="U36" s="679"/>
      <c r="V36" s="679"/>
      <c r="W36" s="679"/>
      <c r="X36" s="679"/>
      <c r="Y36" s="679"/>
      <c r="Z36" s="679"/>
      <c r="AA36" s="679"/>
      <c r="AB36" s="679"/>
      <c r="AC36" s="679"/>
      <c r="AD36" s="679"/>
      <c r="AE36" s="679"/>
      <c r="AF36" s="679"/>
      <c r="AG36" s="679"/>
      <c r="AH36" s="679"/>
      <c r="AI36" s="679"/>
      <c r="AJ36" s="679"/>
      <c r="AK36" s="679" t="s">
        <v>304</v>
      </c>
      <c r="AQ36" s="4">
        <v>14</v>
      </c>
    </row>
    <row r="37" spans="1:43" ht="14.65" customHeight="1">
      <c r="Q37" s="19"/>
      <c r="R37" s="19"/>
      <c r="S37" s="722" t="s">
        <v>88</v>
      </c>
      <c r="T37" s="722" t="s">
        <v>431</v>
      </c>
      <c r="U37" s="100"/>
      <c r="V37" s="756" t="s">
        <v>432</v>
      </c>
      <c r="W37" s="757"/>
      <c r="X37" s="757"/>
      <c r="Y37" s="757"/>
      <c r="Z37" s="757"/>
      <c r="AA37" s="758"/>
      <c r="AB37" s="724" t="s">
        <v>433</v>
      </c>
      <c r="AC37" s="756" t="s">
        <v>432</v>
      </c>
      <c r="AD37" s="757"/>
      <c r="AE37" s="757"/>
      <c r="AF37" s="757"/>
      <c r="AG37" s="757"/>
      <c r="AH37" s="758"/>
      <c r="AI37" s="724" t="s">
        <v>434</v>
      </c>
      <c r="AJ37" s="759" t="s">
        <v>435</v>
      </c>
      <c r="AK37" s="679"/>
      <c r="AQ37" s="4">
        <v>14</v>
      </c>
    </row>
    <row r="38" spans="1:43" ht="35.65" customHeight="1">
      <c r="Q38" s="19"/>
      <c r="R38" s="19"/>
      <c r="S38" s="722"/>
      <c r="T38" s="722"/>
      <c r="U38" s="349"/>
      <c r="V38" s="100" t="s">
        <v>492</v>
      </c>
      <c r="W38" s="662" t="s">
        <v>438</v>
      </c>
      <c r="X38" s="661"/>
      <c r="Y38" s="662" t="s">
        <v>439</v>
      </c>
      <c r="Z38" s="666"/>
      <c r="AA38" s="661"/>
      <c r="AB38" s="725"/>
      <c r="AC38" s="100" t="s">
        <v>492</v>
      </c>
      <c r="AD38" s="662" t="s">
        <v>438</v>
      </c>
      <c r="AE38" s="661"/>
      <c r="AF38" s="662" t="s">
        <v>439</v>
      </c>
      <c r="AG38" s="666"/>
      <c r="AH38" s="661"/>
      <c r="AI38" s="725"/>
      <c r="AJ38" s="760"/>
      <c r="AK38" s="679"/>
      <c r="AQ38" s="4">
        <v>34</v>
      </c>
    </row>
    <row r="39" spans="1:43" ht="90.4" customHeight="1">
      <c r="B39" s="43" t="s">
        <v>140</v>
      </c>
      <c r="C39" s="43" t="s">
        <v>141</v>
      </c>
      <c r="D39" s="43" t="s">
        <v>142</v>
      </c>
      <c r="E39" s="43" t="s">
        <v>440</v>
      </c>
      <c r="F39" s="43" t="s">
        <v>441</v>
      </c>
      <c r="G39" s="43" t="s">
        <v>442</v>
      </c>
      <c r="I39" s="43" t="s">
        <v>493</v>
      </c>
      <c r="J39" s="43" t="s">
        <v>445</v>
      </c>
      <c r="K39" s="43" t="s">
        <v>494</v>
      </c>
      <c r="L39" s="43" t="s">
        <v>421</v>
      </c>
      <c r="Q39" s="19"/>
      <c r="R39" s="19"/>
      <c r="S39" s="722"/>
      <c r="T39" s="722"/>
      <c r="U39" s="101"/>
      <c r="V39" s="100" t="s">
        <v>521</v>
      </c>
      <c r="W39" s="27" t="s">
        <v>522</v>
      </c>
      <c r="X39" s="27" t="s">
        <v>497</v>
      </c>
      <c r="Y39" s="27" t="s">
        <v>449</v>
      </c>
      <c r="Z39" s="728" t="s">
        <v>450</v>
      </c>
      <c r="AA39" s="734"/>
      <c r="AB39" s="726"/>
      <c r="AC39" s="100" t="s">
        <v>521</v>
      </c>
      <c r="AD39" s="27" t="s">
        <v>522</v>
      </c>
      <c r="AE39" s="27" t="s">
        <v>497</v>
      </c>
      <c r="AF39" s="27" t="s">
        <v>449</v>
      </c>
      <c r="AG39" s="728" t="s">
        <v>450</v>
      </c>
      <c r="AH39" s="734"/>
      <c r="AI39" s="726"/>
      <c r="AJ39" s="761"/>
      <c r="AK39" s="679"/>
      <c r="AQ39" s="4">
        <v>86</v>
      </c>
    </row>
    <row r="40" spans="1:43" s="117" customFormat="1" ht="0" hidden="1" customHeight="1">
      <c r="A40" s="43"/>
      <c r="B40" s="43"/>
      <c r="C40" s="43"/>
      <c r="D40" s="43"/>
      <c r="E40" s="43"/>
      <c r="F40" s="43"/>
      <c r="G40" s="43"/>
      <c r="H40" s="43"/>
      <c r="I40" s="43"/>
      <c r="J40" s="43"/>
      <c r="K40" s="43"/>
      <c r="L40" s="43"/>
      <c r="M40" s="167"/>
      <c r="N40" s="167"/>
      <c r="O40" s="167"/>
      <c r="P40" s="178"/>
      <c r="Q40" s="422"/>
      <c r="R40" s="424">
        <v>1</v>
      </c>
      <c r="S40" s="425" t="s">
        <v>110</v>
      </c>
      <c r="T40" s="425" t="s">
        <v>111</v>
      </c>
      <c r="U40" s="421" t="str">
        <f ca="1">OFFSET(U40,0,-1)</f>
        <v>2</v>
      </c>
      <c r="V40" s="426">
        <f ca="1">OFFSET(V40,0,-1)+1</f>
        <v>3</v>
      </c>
      <c r="W40" s="426">
        <f ca="1">OFFSET(W40,0,-1)+1</f>
        <v>4</v>
      </c>
      <c r="X40" s="426">
        <f ca="1">OFFSET(X40,0,-1)+1</f>
        <v>5</v>
      </c>
      <c r="Y40" s="426">
        <f ca="1">OFFSET(Y40,0,-1)+1</f>
        <v>6</v>
      </c>
      <c r="Z40" s="754">
        <f ca="1">OFFSET(Z40,0,-1)+1</f>
        <v>7</v>
      </c>
      <c r="AA40" s="754"/>
      <c r="AB40" s="426">
        <f ca="1">OFFSET(AB40,0,-2)+1</f>
        <v>8</v>
      </c>
      <c r="AC40" s="426">
        <f ca="1">OFFSET(AC40,0,-1)+1</f>
        <v>9</v>
      </c>
      <c r="AD40" s="426">
        <f ca="1">OFFSET(AD40,0,-1)+1</f>
        <v>10</v>
      </c>
      <c r="AE40" s="426">
        <f ca="1">OFFSET(AE40,0,-1)+1</f>
        <v>11</v>
      </c>
      <c r="AF40" s="426">
        <f ca="1">OFFSET(AF40,0,-1)+1</f>
        <v>12</v>
      </c>
      <c r="AG40" s="754">
        <f ca="1">OFFSET(AG40,0,-1)+1</f>
        <v>13</v>
      </c>
      <c r="AH40" s="754"/>
      <c r="AI40" s="426">
        <f ca="1">OFFSET(AI40,0,-2)+1</f>
        <v>14</v>
      </c>
      <c r="AJ40" s="421">
        <f ca="1">OFFSET(AJ40,0,-1)</f>
        <v>14</v>
      </c>
      <c r="AK40" s="426">
        <f ca="1">OFFSET(AK40,0,-1)+1</f>
        <v>15</v>
      </c>
      <c r="AL40" s="46"/>
      <c r="AM40" s="46"/>
      <c r="AN40" s="46"/>
      <c r="AO40" s="46"/>
      <c r="AP40" s="46"/>
      <c r="AQ40" s="117">
        <v>0</v>
      </c>
    </row>
    <row r="41" spans="1:43" ht="24" customHeight="1">
      <c r="A41" s="43" t="s">
        <v>274</v>
      </c>
      <c r="E41" s="745">
        <v>1</v>
      </c>
      <c r="M41" s="43"/>
      <c r="N41" s="43"/>
      <c r="O41" s="43"/>
      <c r="Q41" s="4"/>
      <c r="R41" s="119"/>
      <c r="S41" s="24">
        <f>INDEX(PT_DIFFERENTIATION_NUM_NTAR,MATCH(A41,PT_DIFFERENTIATION_NTAR_ID,0))</f>
        <v>0</v>
      </c>
      <c r="T41" s="29" t="s">
        <v>128</v>
      </c>
      <c r="U41" s="29"/>
      <c r="V41" s="742"/>
      <c r="W41" s="743"/>
      <c r="X41" s="743"/>
      <c r="Y41" s="743"/>
      <c r="Z41" s="743"/>
      <c r="AA41" s="743"/>
      <c r="AB41" s="744"/>
      <c r="AC41" s="742" t="str">
        <f>INDEX(PT_DIFFERENTIATION_NTAR,MATCH(A41,PT_DIFFERENTIATION_NTAR_ID,0))</f>
        <v/>
      </c>
      <c r="AD41" s="743"/>
      <c r="AE41" s="743"/>
      <c r="AF41" s="743"/>
      <c r="AG41" s="743"/>
      <c r="AH41" s="743"/>
      <c r="AI41" s="743"/>
      <c r="AJ41" s="744"/>
      <c r="AK41" s="4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N41" s="46" t="str">
        <f t="shared" ref="AN41:AN53" si="1">IF(T41="","",T41)</f>
        <v>Наименование тарифа</v>
      </c>
      <c r="AQ41" s="4">
        <v>23</v>
      </c>
    </row>
    <row r="42" spans="1:43" ht="24" customHeight="1">
      <c r="A42" s="43" t="s">
        <v>274</v>
      </c>
      <c r="B42" s="43" t="s">
        <v>275</v>
      </c>
      <c r="E42" s="747"/>
      <c r="F42" s="745">
        <v>1</v>
      </c>
      <c r="M42" s="43"/>
      <c r="N42" s="43"/>
      <c r="O42" s="43"/>
      <c r="P42" s="4"/>
      <c r="Q42" s="118"/>
      <c r="R42" s="119"/>
      <c r="S42" s="24" t="str">
        <f>INDEX(PT_DIFFERENTIATION_NUM_TER,MATCH(B42,PT_DIFFERENTIATION_TER_ID,0))</f>
        <v>.</v>
      </c>
      <c r="T42" s="24" t="s">
        <v>400</v>
      </c>
      <c r="U42" s="29"/>
      <c r="V42" s="742"/>
      <c r="W42" s="743"/>
      <c r="X42" s="743"/>
      <c r="Y42" s="743"/>
      <c r="Z42" s="743"/>
      <c r="AA42" s="743"/>
      <c r="AB42" s="744"/>
      <c r="AC42" s="742" t="str">
        <f>INDEX(PT_DIFFERENTIATION_TER,MATCH(B42,PT_DIFFERENTIATION_TER_ID,0))</f>
        <v/>
      </c>
      <c r="AD42" s="743"/>
      <c r="AE42" s="743"/>
      <c r="AF42" s="743"/>
      <c r="AG42" s="743"/>
      <c r="AH42" s="743"/>
      <c r="AI42" s="743"/>
      <c r="AJ42" s="744"/>
      <c r="AK42" s="428" t="s">
        <v>401</v>
      </c>
      <c r="AN42" s="46" t="str">
        <f t="shared" si="1"/>
        <v>Территория действия тарифа</v>
      </c>
      <c r="AQ42" s="4">
        <v>23</v>
      </c>
    </row>
    <row r="43" spans="1:43" ht="24" customHeight="1">
      <c r="A43" s="43" t="s">
        <v>274</v>
      </c>
      <c r="B43" s="43" t="s">
        <v>275</v>
      </c>
      <c r="C43" s="43" t="s">
        <v>276</v>
      </c>
      <c r="E43" s="747"/>
      <c r="F43" s="747"/>
      <c r="G43" s="745">
        <v>1</v>
      </c>
      <c r="M43" s="43"/>
      <c r="N43" s="43"/>
      <c r="O43" s="43"/>
      <c r="P43" s="16"/>
      <c r="Q43" s="118"/>
      <c r="R43" s="119"/>
      <c r="S43" s="24" t="str">
        <f>INDEX(PT_DIFFERENTIATION_NUM_CS,MATCH(C43,PT_DIFFERENTIATION_CS_ID,0))</f>
        <v>..</v>
      </c>
      <c r="T43" s="24" t="s">
        <v>519</v>
      </c>
      <c r="U43" s="29"/>
      <c r="V43" s="742"/>
      <c r="W43" s="743"/>
      <c r="X43" s="743"/>
      <c r="Y43" s="743"/>
      <c r="Z43" s="743"/>
      <c r="AA43" s="743"/>
      <c r="AB43" s="744"/>
      <c r="AC43" s="742" t="str">
        <f>INDEX(PT_DIFFERENTIATION_CS,MATCH(C43,PT_DIFFERENTIATION_CS_ID,0))</f>
        <v/>
      </c>
      <c r="AD43" s="743"/>
      <c r="AE43" s="743"/>
      <c r="AF43" s="743"/>
      <c r="AG43" s="743"/>
      <c r="AH43" s="743"/>
      <c r="AI43" s="743"/>
      <c r="AJ43" s="744"/>
      <c r="AK43" s="428" t="s">
        <v>520</v>
      </c>
      <c r="AN43" s="46" t="str">
        <f t="shared" si="1"/>
        <v>Наименование централизованной системы водоотведения</v>
      </c>
      <c r="AQ43" s="4">
        <v>23</v>
      </c>
    </row>
    <row r="44" spans="1:43" ht="24" customHeight="1">
      <c r="A44" s="43" t="s">
        <v>274</v>
      </c>
      <c r="B44" s="43" t="s">
        <v>275</v>
      </c>
      <c r="C44" s="43" t="s">
        <v>276</v>
      </c>
      <c r="D44" s="43" t="s">
        <v>524</v>
      </c>
      <c r="E44" s="747"/>
      <c r="F44" s="747"/>
      <c r="G44" s="747"/>
      <c r="H44" s="747"/>
      <c r="I44" s="745" t="str">
        <f>S43&amp;".1"</f>
        <v>...1</v>
      </c>
      <c r="P44" s="748">
        <v>1</v>
      </c>
      <c r="Q44" s="46"/>
      <c r="R44" s="120"/>
      <c r="S44" s="24" t="str">
        <f>$I44</f>
        <v>...1</v>
      </c>
      <c r="T44" s="24" t="s">
        <v>486</v>
      </c>
      <c r="U44" s="29"/>
      <c r="V44" s="793"/>
      <c r="W44" s="794"/>
      <c r="X44" s="794"/>
      <c r="Y44" s="794"/>
      <c r="Z44" s="794"/>
      <c r="AA44" s="794"/>
      <c r="AB44" s="795"/>
      <c r="AC44" s="793"/>
      <c r="AD44" s="794"/>
      <c r="AE44" s="794"/>
      <c r="AF44" s="794"/>
      <c r="AG44" s="794"/>
      <c r="AH44" s="794"/>
      <c r="AI44" s="794"/>
      <c r="AJ44" s="795"/>
      <c r="AK44" s="428" t="s">
        <v>487</v>
      </c>
      <c r="AN44" s="46" t="str">
        <f t="shared" si="1"/>
        <v>Наименование признака дифференциации</v>
      </c>
      <c r="AQ44" s="4">
        <v>23</v>
      </c>
    </row>
    <row r="45" spans="1:43" ht="24" customHeight="1">
      <c r="A45" s="43" t="s">
        <v>274</v>
      </c>
      <c r="B45" s="43" t="s">
        <v>275</v>
      </c>
      <c r="C45" s="43" t="s">
        <v>276</v>
      </c>
      <c r="D45" s="43" t="s">
        <v>524</v>
      </c>
      <c r="E45" s="747"/>
      <c r="F45" s="747"/>
      <c r="G45" s="747"/>
      <c r="H45" s="747"/>
      <c r="I45" s="747"/>
      <c r="J45" s="745" t="str">
        <f>I44&amp;".1"</f>
        <v>...1.1</v>
      </c>
      <c r="L45" s="43" t="s">
        <v>409</v>
      </c>
      <c r="P45" s="748"/>
      <c r="Q45" s="748">
        <v>1</v>
      </c>
      <c r="R45" s="120"/>
      <c r="S45" s="24" t="str">
        <f>$J45</f>
        <v>...1.1</v>
      </c>
      <c r="T45" s="24" t="s">
        <v>410</v>
      </c>
      <c r="U45" s="29"/>
      <c r="V45" s="737"/>
      <c r="W45" s="738"/>
      <c r="X45" s="738"/>
      <c r="Y45" s="738"/>
      <c r="Z45" s="738"/>
      <c r="AA45" s="738"/>
      <c r="AB45" s="739"/>
      <c r="AC45" s="737"/>
      <c r="AD45" s="738"/>
      <c r="AE45" s="738"/>
      <c r="AF45" s="738"/>
      <c r="AG45" s="738"/>
      <c r="AH45" s="738"/>
      <c r="AI45" s="738"/>
      <c r="AJ45" s="739"/>
      <c r="AK45" s="445" t="s">
        <v>488</v>
      </c>
      <c r="AN45" s="46" t="str">
        <f t="shared" si="1"/>
        <v>Группа потребителей</v>
      </c>
      <c r="AQ45" s="4">
        <v>23</v>
      </c>
    </row>
    <row r="46" spans="1:43" ht="24" customHeight="1">
      <c r="A46" s="43" t="s">
        <v>274</v>
      </c>
      <c r="B46" s="43" t="s">
        <v>275</v>
      </c>
      <c r="C46" s="43" t="s">
        <v>276</v>
      </c>
      <c r="D46" s="43" t="s">
        <v>524</v>
      </c>
      <c r="E46" s="747"/>
      <c r="F46" s="747"/>
      <c r="G46" s="747"/>
      <c r="H46" s="747"/>
      <c r="I46" s="747"/>
      <c r="J46" s="747"/>
      <c r="K46" s="745" t="str">
        <f>J45&amp;".1"</f>
        <v>...1.1.1</v>
      </c>
      <c r="P46" s="748"/>
      <c r="Q46" s="748"/>
      <c r="R46" s="120">
        <v>1</v>
      </c>
      <c r="S46" s="24" t="str">
        <f>$K46</f>
        <v>...1.1.1</v>
      </c>
      <c r="T46" s="25"/>
      <c r="U46" s="29"/>
      <c r="V46" s="205"/>
      <c r="W46" s="205"/>
      <c r="X46" s="451"/>
      <c r="Y46" s="746"/>
      <c r="Z46" s="745" t="s">
        <v>66</v>
      </c>
      <c r="AA46" s="746"/>
      <c r="AB46" s="745" t="s">
        <v>66</v>
      </c>
      <c r="AC46" s="168"/>
      <c r="AD46" s="168"/>
      <c r="AE46" s="427"/>
      <c r="AF46" s="749"/>
      <c r="AG46" s="688" t="s">
        <v>66</v>
      </c>
      <c r="AH46" s="750"/>
      <c r="AI46" s="688" t="s">
        <v>19</v>
      </c>
      <c r="AJ46" s="474"/>
      <c r="AK46" s="79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6" t="e">
        <f ca="1">STRCHECKDATE(V47:AJ47)</f>
        <v>#NAME?</v>
      </c>
      <c r="AN46" s="46" t="str">
        <f t="shared" si="1"/>
        <v/>
      </c>
      <c r="AQ46" s="4">
        <v>23</v>
      </c>
    </row>
    <row r="47" spans="1:43" ht="0" hidden="1" customHeight="1">
      <c r="A47" s="43" t="s">
        <v>274</v>
      </c>
      <c r="B47" s="43" t="s">
        <v>275</v>
      </c>
      <c r="C47" s="43" t="s">
        <v>276</v>
      </c>
      <c r="D47" s="43" t="s">
        <v>524</v>
      </c>
      <c r="E47" s="747"/>
      <c r="F47" s="747"/>
      <c r="G47" s="747"/>
      <c r="H47" s="747"/>
      <c r="I47" s="747"/>
      <c r="J47" s="747"/>
      <c r="K47" s="745"/>
      <c r="P47" s="748"/>
      <c r="Q47" s="748"/>
      <c r="R47" s="120"/>
      <c r="S47" s="31"/>
      <c r="T47" s="29"/>
      <c r="U47" s="29"/>
      <c r="V47" s="205"/>
      <c r="W47" s="205"/>
      <c r="X47" s="111" t="str">
        <f>Y46&amp;"-"&amp;AA46</f>
        <v>-</v>
      </c>
      <c r="Y47" s="745"/>
      <c r="Z47" s="745"/>
      <c r="AA47" s="745"/>
      <c r="AB47" s="745"/>
      <c r="AC47" s="110"/>
      <c r="AD47" s="110"/>
      <c r="AE47" s="111" t="str">
        <f>AF46&amp;"-"&amp;AH46</f>
        <v>-</v>
      </c>
      <c r="AF47" s="707"/>
      <c r="AG47" s="688"/>
      <c r="AH47" s="751"/>
      <c r="AI47" s="688"/>
      <c r="AJ47" s="216"/>
      <c r="AK47" s="796"/>
      <c r="AN47" s="46" t="str">
        <f t="shared" si="1"/>
        <v/>
      </c>
      <c r="AQ47" s="4">
        <v>0</v>
      </c>
    </row>
    <row r="48" spans="1:43" ht="21" customHeight="1">
      <c r="A48" s="43" t="s">
        <v>274</v>
      </c>
      <c r="B48" s="43" t="s">
        <v>275</v>
      </c>
      <c r="C48" s="43" t="s">
        <v>276</v>
      </c>
      <c r="D48" s="43" t="s">
        <v>524</v>
      </c>
      <c r="E48" s="747"/>
      <c r="F48" s="747"/>
      <c r="G48" s="747"/>
      <c r="H48" s="747"/>
      <c r="I48" s="747"/>
      <c r="J48" s="745"/>
      <c r="P48" s="748"/>
      <c r="Q48" s="748"/>
      <c r="R48" s="120"/>
      <c r="S48" s="434"/>
      <c r="T48" s="37" t="s">
        <v>489</v>
      </c>
      <c r="U48" s="58"/>
      <c r="V48" s="58"/>
      <c r="W48" s="58"/>
      <c r="X48" s="58"/>
      <c r="Y48" s="58"/>
      <c r="Z48" s="58"/>
      <c r="AA48" s="58"/>
      <c r="AB48" s="58"/>
      <c r="AC48" s="58"/>
      <c r="AD48" s="58"/>
      <c r="AE48" s="58"/>
      <c r="AF48" s="58"/>
      <c r="AG48" s="58"/>
      <c r="AH48" s="58"/>
      <c r="AI48" s="58"/>
      <c r="AJ48" s="58"/>
      <c r="AK48" s="428" t="s">
        <v>490</v>
      </c>
      <c r="AN48" s="46" t="str">
        <f t="shared" si="1"/>
        <v>Добавить значение признака дифференциации</v>
      </c>
      <c r="AQ48" s="4">
        <v>20</v>
      </c>
    </row>
    <row r="49" spans="1:43" ht="21.95" customHeight="1">
      <c r="A49" s="43" t="s">
        <v>274</v>
      </c>
      <c r="B49" s="43" t="s">
        <v>275</v>
      </c>
      <c r="C49" s="43" t="s">
        <v>276</v>
      </c>
      <c r="D49" s="43" t="s">
        <v>524</v>
      </c>
      <c r="E49" s="747"/>
      <c r="F49" s="747"/>
      <c r="G49" s="747"/>
      <c r="H49" s="747"/>
      <c r="I49" s="745"/>
      <c r="P49" s="748"/>
      <c r="Q49" s="46"/>
      <c r="R49" s="120"/>
      <c r="S49" s="434"/>
      <c r="T49" s="37" t="s">
        <v>415</v>
      </c>
      <c r="U49" s="58"/>
      <c r="V49" s="58"/>
      <c r="W49" s="58"/>
      <c r="X49" s="58"/>
      <c r="Y49" s="58"/>
      <c r="Z49" s="58"/>
      <c r="AA49" s="58"/>
      <c r="AB49" s="54"/>
      <c r="AC49" s="58"/>
      <c r="AD49" s="58"/>
      <c r="AE49" s="58"/>
      <c r="AF49" s="58"/>
      <c r="AG49" s="58"/>
      <c r="AH49" s="58"/>
      <c r="AI49" s="54"/>
      <c r="AJ49" s="58"/>
      <c r="AK49" s="475"/>
      <c r="AN49" s="46" t="str">
        <f t="shared" si="1"/>
        <v>Добавить группу потребителей</v>
      </c>
      <c r="AQ49" s="4">
        <v>21</v>
      </c>
    </row>
    <row r="50" spans="1:43" ht="21.95" customHeight="1">
      <c r="A50" s="43" t="s">
        <v>274</v>
      </c>
      <c r="B50" s="43" t="s">
        <v>275</v>
      </c>
      <c r="C50" s="43" t="s">
        <v>276</v>
      </c>
      <c r="D50" s="43" t="s">
        <v>524</v>
      </c>
      <c r="E50" s="747"/>
      <c r="F50" s="747"/>
      <c r="G50" s="747"/>
      <c r="H50" s="745"/>
      <c r="M50" s="43"/>
      <c r="N50" s="43"/>
      <c r="O50" s="43"/>
      <c r="P50" s="4"/>
      <c r="R50" s="119"/>
      <c r="S50" s="434"/>
      <c r="T50" s="37" t="s">
        <v>491</v>
      </c>
      <c r="U50" s="58"/>
      <c r="V50" s="58"/>
      <c r="W50" s="58"/>
      <c r="X50" s="58"/>
      <c r="Y50" s="58"/>
      <c r="Z50" s="58"/>
      <c r="AA50" s="58"/>
      <c r="AB50" s="54"/>
      <c r="AC50" s="58"/>
      <c r="AD50" s="58"/>
      <c r="AE50" s="58"/>
      <c r="AF50" s="58"/>
      <c r="AG50" s="58"/>
      <c r="AH50" s="58"/>
      <c r="AI50" s="54"/>
      <c r="AJ50" s="58"/>
      <c r="AK50" s="102"/>
      <c r="AN50" s="46" t="str">
        <f t="shared" si="1"/>
        <v>Добавить наименование признака дифференциации</v>
      </c>
      <c r="AQ50" s="4">
        <v>21</v>
      </c>
    </row>
    <row r="51" spans="1:43" s="46" customFormat="1" ht="0" hidden="1" customHeight="1">
      <c r="A51" s="46" t="s">
        <v>274</v>
      </c>
      <c r="B51" s="46" t="s">
        <v>275</v>
      </c>
      <c r="E51" s="747"/>
      <c r="F51" s="745"/>
      <c r="M51" s="160"/>
      <c r="N51" s="160"/>
      <c r="Q51" s="446"/>
      <c r="S51" s="449"/>
      <c r="T51" s="160" t="s">
        <v>418</v>
      </c>
      <c r="U51" s="160"/>
      <c r="V51" s="160"/>
      <c r="W51" s="160"/>
      <c r="X51" s="160"/>
      <c r="Y51" s="160"/>
      <c r="Z51" s="160"/>
      <c r="AA51" s="160"/>
      <c r="AB51" s="160"/>
      <c r="AC51" s="160"/>
      <c r="AD51" s="160"/>
      <c r="AE51" s="160"/>
      <c r="AF51" s="160"/>
      <c r="AG51" s="160"/>
      <c r="AH51" s="160"/>
      <c r="AI51" s="160"/>
      <c r="AJ51" s="160"/>
      <c r="AK51" s="160"/>
      <c r="AN51" s="46" t="str">
        <f t="shared" si="1"/>
        <v>Добавить централизованную систему для дифференциации</v>
      </c>
      <c r="AQ51" s="46">
        <v>0</v>
      </c>
    </row>
    <row r="52" spans="1:43" s="46" customFormat="1" ht="0" hidden="1" customHeight="1">
      <c r="A52" s="46" t="s">
        <v>274</v>
      </c>
      <c r="E52" s="745"/>
      <c r="M52" s="160"/>
      <c r="N52" s="160"/>
      <c r="Q52" s="446"/>
      <c r="S52" s="449"/>
      <c r="T52" s="160" t="s">
        <v>419</v>
      </c>
      <c r="U52" s="160"/>
      <c r="V52" s="160"/>
      <c r="W52" s="160"/>
      <c r="X52" s="160"/>
      <c r="Y52" s="160"/>
      <c r="Z52" s="160"/>
      <c r="AA52" s="160"/>
      <c r="AB52" s="160"/>
      <c r="AC52" s="160"/>
      <c r="AD52" s="160"/>
      <c r="AE52" s="160"/>
      <c r="AF52" s="160"/>
      <c r="AG52" s="160"/>
      <c r="AH52" s="160"/>
      <c r="AI52" s="160"/>
      <c r="AJ52" s="160"/>
      <c r="AK52" s="160"/>
      <c r="AN52" s="46" t="str">
        <f t="shared" si="1"/>
        <v>Добавить территорию для дифференциации</v>
      </c>
      <c r="AQ52" s="46">
        <v>0</v>
      </c>
    </row>
    <row r="53" spans="1:43" s="46" customFormat="1" ht="0" hidden="1" customHeight="1">
      <c r="M53" s="160"/>
      <c r="N53" s="160"/>
      <c r="Q53" s="446"/>
      <c r="S53" s="449"/>
      <c r="T53" s="160" t="s">
        <v>451</v>
      </c>
      <c r="U53" s="160"/>
      <c r="V53" s="160"/>
      <c r="W53" s="160"/>
      <c r="X53" s="160"/>
      <c r="Y53" s="160"/>
      <c r="Z53" s="160"/>
      <c r="AA53" s="160"/>
      <c r="AB53" s="160"/>
      <c r="AC53" s="160"/>
      <c r="AD53" s="160"/>
      <c r="AE53" s="160"/>
      <c r="AF53" s="160"/>
      <c r="AG53" s="160"/>
      <c r="AH53" s="160"/>
      <c r="AI53" s="160"/>
      <c r="AJ53" s="160"/>
      <c r="AK53" s="160"/>
      <c r="AN53" s="46" t="str">
        <f t="shared" si="1"/>
        <v>Добавить наименование тарифа</v>
      </c>
      <c r="AQ53" s="46">
        <v>0</v>
      </c>
    </row>
    <row r="54" spans="1:43" ht="11.45" customHeight="1">
      <c r="M54" s="43"/>
      <c r="N54" s="43"/>
      <c r="O54" s="43"/>
      <c r="P54" s="4"/>
      <c r="Q54" s="4"/>
      <c r="R54" s="4"/>
      <c r="AL54" s="4"/>
      <c r="AM54" s="4"/>
      <c r="AN54" s="4"/>
      <c r="AO54" s="4"/>
      <c r="AP54" s="4"/>
      <c r="AQ54" s="4">
        <v>11</v>
      </c>
    </row>
    <row r="55" spans="1:43" ht="14.65" customHeight="1">
      <c r="O55" s="43"/>
      <c r="T55" s="665"/>
      <c r="U55" s="665"/>
      <c r="V55" s="665"/>
      <c r="W55" s="665"/>
      <c r="X55" s="665"/>
      <c r="Y55" s="665"/>
      <c r="Z55" s="665"/>
      <c r="AA55" s="665"/>
      <c r="AB55" s="665"/>
      <c r="AC55" s="665"/>
      <c r="AD55" s="665"/>
      <c r="AE55" s="665"/>
      <c r="AF55" s="665"/>
      <c r="AG55" s="665"/>
      <c r="AH55" s="665"/>
      <c r="AI55" s="665"/>
      <c r="AJ55" s="665"/>
      <c r="AK55" s="665"/>
      <c r="AQ55" s="4">
        <v>14</v>
      </c>
    </row>
    <row r="56" spans="1:43" ht="14.65" customHeight="1">
      <c r="O56" s="43"/>
      <c r="AQ56" s="4">
        <v>14</v>
      </c>
    </row>
    <row r="57" spans="1:43" ht="14.65" customHeight="1">
      <c r="O57" s="43"/>
      <c r="T57" s="665"/>
      <c r="U57" s="665"/>
      <c r="V57" s="665"/>
      <c r="W57" s="665"/>
      <c r="X57" s="665"/>
      <c r="Y57" s="665"/>
      <c r="Z57" s="665"/>
      <c r="AA57" s="665"/>
      <c r="AB57" s="665"/>
      <c r="AC57" s="665"/>
      <c r="AD57" s="665"/>
      <c r="AE57" s="665"/>
      <c r="AF57" s="665"/>
      <c r="AG57" s="665"/>
      <c r="AH57" s="665"/>
      <c r="AI57" s="665"/>
      <c r="AJ57" s="665"/>
      <c r="AK57" s="665"/>
      <c r="AQ57" s="4">
        <v>14</v>
      </c>
    </row>
    <row r="58" spans="1:43" ht="22.5" hidden="1" customHeight="1">
      <c r="A58" s="43" t="s">
        <v>82</v>
      </c>
      <c r="B58" s="43">
        <v>0</v>
      </c>
      <c r="C58" s="43">
        <v>0</v>
      </c>
      <c r="D58" s="43">
        <v>0</v>
      </c>
      <c r="E58" s="43">
        <v>0</v>
      </c>
      <c r="F58" s="43">
        <v>0</v>
      </c>
      <c r="G58" s="43">
        <v>0</v>
      </c>
      <c r="H58" s="43">
        <v>0</v>
      </c>
      <c r="I58" s="43">
        <v>0</v>
      </c>
      <c r="J58" s="43">
        <v>0</v>
      </c>
      <c r="K58" s="43">
        <v>0</v>
      </c>
      <c r="L58" s="43">
        <v>0</v>
      </c>
      <c r="M58" s="167">
        <v>0</v>
      </c>
      <c r="N58" s="167">
        <v>0</v>
      </c>
      <c r="O58" s="167">
        <v>0</v>
      </c>
      <c r="P58" s="23">
        <v>3</v>
      </c>
      <c r="Q58" s="20">
        <v>3</v>
      </c>
      <c r="R58" s="20">
        <v>3</v>
      </c>
      <c r="S58" s="4">
        <v>12</v>
      </c>
      <c r="T58" s="4">
        <v>35</v>
      </c>
      <c r="U58" s="4">
        <v>0</v>
      </c>
      <c r="V58" s="4">
        <v>0</v>
      </c>
      <c r="W58" s="4">
        <v>0</v>
      </c>
      <c r="X58" s="4">
        <v>0</v>
      </c>
      <c r="Y58" s="4">
        <v>0</v>
      </c>
      <c r="Z58" s="4">
        <v>0</v>
      </c>
      <c r="AA58" s="4">
        <v>0</v>
      </c>
      <c r="AB58" s="4">
        <v>0</v>
      </c>
      <c r="AC58" s="4">
        <v>24</v>
      </c>
      <c r="AD58" s="4">
        <v>24</v>
      </c>
      <c r="AE58" s="4">
        <v>24</v>
      </c>
      <c r="AF58" s="4">
        <v>11</v>
      </c>
      <c r="AG58" s="4">
        <v>3</v>
      </c>
      <c r="AH58" s="4">
        <v>11</v>
      </c>
      <c r="AI58" s="4">
        <v>0</v>
      </c>
      <c r="AJ58" s="4">
        <v>4</v>
      </c>
      <c r="AK58" s="4">
        <v>115</v>
      </c>
      <c r="AL58" s="46">
        <v>10</v>
      </c>
      <c r="AM58" s="46">
        <v>10</v>
      </c>
      <c r="AN58" s="46">
        <v>10</v>
      </c>
      <c r="AO58" s="46">
        <v>10</v>
      </c>
      <c r="AP58" s="46">
        <v>10</v>
      </c>
      <c r="AQ58" s="4">
        <v>23</v>
      </c>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xr:uid="{00000000-0002-0000-1B00-000000000000}">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xr:uid="{00000000-0002-0000-1B00-000001000000}"/>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xr:uid="{00000000-0002-0000-1B00-00000200000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xr:uid="{00000000-0002-0000-1B00-000003000000}"/>
    <dataValidation type="list" allowBlank="1" showInputMessage="1" showErrorMessage="1" errorTitle="Ошибка" error="Выберите значение из списка" sqref="T65578 T131114 T196650 T262186 T327722 T393258 T458794 T524330 T589866 T655402 T720938 T786474 T852010 T917546 T983082" xr:uid="{00000000-0002-0000-1B00-000004000000}">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xr:uid="{00000000-0002-0000-1B00-000005000000}">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xr:uid="{00000000-0002-0000-1B00-000006000000}">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xr:uid="{00000000-0002-0000-1B00-00000700000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116EA2-11E6-B6C3-F473-6CC351815803}">
  <sheetPr>
    <tabColor theme="6" tint="0.39997558519241921"/>
  </sheetPr>
  <dimension ref="A1:BI69"/>
  <sheetViews>
    <sheetView showGridLines="0" zoomScale="90" workbookViewId="0">
      <pane xSplit="29" ySplit="45" topLeftCell="AD46" activePane="bottomRight" state="frozen"/>
      <selection pane="topRight" activeCell="AD1" sqref="AD1"/>
      <selection pane="bottomLeft" activeCell="A46" sqref="A46"/>
      <selection pane="bottomRight"/>
    </sheetView>
  </sheetViews>
  <sheetFormatPr defaultColWidth="10.5703125" defaultRowHeight="14.25" customHeight="1"/>
  <cols>
    <col min="1" max="1" width="11.5703125" style="43" hidden="1" customWidth="1"/>
    <col min="2" max="2" width="11" style="43" hidden="1" customWidth="1"/>
    <col min="3" max="3" width="10.5703125" style="43" hidden="1"/>
    <col min="4" max="4" width="12.85546875" style="43" hidden="1" customWidth="1"/>
    <col min="5" max="5" width="10" style="43" hidden="1" customWidth="1"/>
    <col min="6" max="6" width="8.7109375" style="43" hidden="1" customWidth="1"/>
    <col min="7" max="7" width="7.5703125" style="43" hidden="1" customWidth="1"/>
    <col min="8" max="8" width="11.42578125" style="43" hidden="1" customWidth="1"/>
    <col min="9" max="9" width="12" style="43" hidden="1" customWidth="1"/>
    <col min="10" max="10" width="9.85546875" style="43" hidden="1" customWidth="1"/>
    <col min="11" max="11" width="11.42578125" style="43" hidden="1" customWidth="1"/>
    <col min="12" max="12" width="19.140625" style="43" hidden="1" customWidth="1"/>
    <col min="13" max="14" width="12.28515625" style="167" hidden="1" customWidth="1"/>
    <col min="15" max="15" width="23.42578125" style="167" hidden="1" customWidth="1"/>
    <col min="16" max="16" width="3.7109375" style="167" hidden="1" customWidth="1"/>
    <col min="17" max="17" width="3.7109375" style="452" hidden="1" customWidth="1"/>
    <col min="18" max="18" width="3" style="20" customWidth="1"/>
    <col min="19" max="19" width="12" style="4" customWidth="1"/>
    <col min="20" max="20" width="31" style="4" customWidth="1"/>
    <col min="21" max="21" width="0.140625" style="4" customWidth="1"/>
    <col min="22" max="25" width="21.7109375" style="4" hidden="1" customWidth="1"/>
    <col min="26" max="26" width="11.7109375" style="4" hidden="1" customWidth="1"/>
    <col min="27" max="27" width="3.7109375" style="4" hidden="1" customWidth="1"/>
    <col min="28" max="28" width="11.7109375" style="4" hidden="1" customWidth="1"/>
    <col min="29" max="29" width="8.5703125" style="4" hidden="1" customWidth="1"/>
    <col min="30" max="30" width="3.7109375" style="4" customWidth="1"/>
    <col min="31" max="32" width="3" style="4" customWidth="1"/>
    <col min="33" max="33" width="24" style="4" customWidth="1"/>
    <col min="34" max="34" width="3.7109375" style="4" customWidth="1"/>
    <col min="35" max="36" width="3" style="4" customWidth="1"/>
    <col min="37" max="37" width="24" style="4" customWidth="1"/>
    <col min="38" max="38" width="3.7109375" style="4" customWidth="1"/>
    <col min="39" max="40" width="3" style="4" customWidth="1"/>
    <col min="41" max="41" width="18" style="4" customWidth="1"/>
    <col min="42" max="42" width="3.7109375" style="4" customWidth="1"/>
    <col min="43" max="44" width="3" style="4" customWidth="1"/>
    <col min="45" max="45" width="18" style="4" customWidth="1"/>
    <col min="46" max="49" width="21" style="4" customWidth="1"/>
    <col min="50" max="50" width="11" style="4" customWidth="1"/>
    <col min="51" max="51" width="3.7109375" style="4" customWidth="1"/>
    <col min="52" max="52" width="11" style="4" customWidth="1"/>
    <col min="53" max="53" width="8.5703125" style="4" hidden="1" customWidth="1"/>
    <col min="54" max="54" width="4" style="4" customWidth="1"/>
    <col min="55" max="55" width="115" style="4" customWidth="1"/>
    <col min="56" max="60" width="10" style="46" customWidth="1"/>
    <col min="61" max="61" width="10.5703125" style="4" hidden="1"/>
  </cols>
  <sheetData>
    <row r="1" spans="5:61" ht="22.5" hidden="1" customHeight="1">
      <c r="BI1" s="4" t="s">
        <v>14</v>
      </c>
    </row>
    <row r="2" spans="5:61" ht="21" hidden="1" customHeight="1">
      <c r="E2" s="745">
        <v>1</v>
      </c>
      <c r="M2" s="43"/>
      <c r="N2" s="43"/>
      <c r="O2" s="43"/>
      <c r="Q2" s="43"/>
      <c r="R2" s="119"/>
      <c r="S2" s="24" t="e">
        <f>INDEX(PT_DIFFERENTIATION_NUM_NTAR,MATCH(A2,PT_DIFFERENTIATION_NTAR_ID,0))</f>
        <v>#N/A</v>
      </c>
      <c r="T2" s="29" t="s">
        <v>128</v>
      </c>
      <c r="U2" s="29"/>
      <c r="V2" s="743"/>
      <c r="W2" s="743"/>
      <c r="X2" s="743"/>
      <c r="Y2" s="743"/>
      <c r="Z2" s="743"/>
      <c r="AA2" s="743"/>
      <c r="AB2" s="743"/>
      <c r="AC2" s="744"/>
      <c r="AD2" s="742" t="e">
        <f>INDEX(PT_DIFFERENTIATION_NTAR,MATCH(A2,PT_DIFFERENTIATION_NTAR_ID,0))</f>
        <v>#N/A</v>
      </c>
      <c r="AE2" s="743"/>
      <c r="AF2" s="743"/>
      <c r="AG2" s="743"/>
      <c r="AH2" s="743"/>
      <c r="AI2" s="743"/>
      <c r="AJ2" s="743"/>
      <c r="AK2" s="743"/>
      <c r="AL2" s="743"/>
      <c r="AM2" s="743"/>
      <c r="AN2" s="743"/>
      <c r="AO2" s="743"/>
      <c r="AP2" s="743"/>
      <c r="AQ2" s="743"/>
      <c r="AR2" s="743"/>
      <c r="AS2" s="743"/>
      <c r="AT2" s="743"/>
      <c r="AU2" s="743"/>
      <c r="AV2" s="743"/>
      <c r="AW2" s="743"/>
      <c r="AX2" s="743"/>
      <c r="AY2" s="743"/>
      <c r="AZ2" s="743"/>
      <c r="BA2" s="743"/>
      <c r="BB2" s="744"/>
      <c r="BC2" s="4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F2" s="46" t="str">
        <f t="shared" ref="BF2:BF8" si="0">IF(T2="","",T2)</f>
        <v>Наименование тарифа</v>
      </c>
      <c r="BI2" s="4">
        <v>0</v>
      </c>
    </row>
    <row r="3" spans="5:61" ht="21" hidden="1" customHeight="1">
      <c r="E3" s="747"/>
      <c r="F3" s="745">
        <v>1</v>
      </c>
      <c r="M3" s="43"/>
      <c r="N3" s="43"/>
      <c r="O3" s="43"/>
      <c r="P3" s="43"/>
      <c r="Q3" s="468"/>
      <c r="R3" s="119"/>
      <c r="S3" s="24" t="e">
        <f>INDEX(PT_DIFFERENTIATION_NUM_TER,MATCH(B3,PT_DIFFERENTIATION_TER_ID,0))</f>
        <v>#N/A</v>
      </c>
      <c r="T3" s="24" t="s">
        <v>400</v>
      </c>
      <c r="U3" s="29"/>
      <c r="V3" s="743"/>
      <c r="W3" s="743"/>
      <c r="X3" s="743"/>
      <c r="Y3" s="743"/>
      <c r="Z3" s="743"/>
      <c r="AA3" s="743"/>
      <c r="AB3" s="743"/>
      <c r="AC3" s="744"/>
      <c r="AD3" s="742" t="e">
        <f>INDEX(PT_DIFFERENTIATION_TER,MATCH(B3,PT_DIFFERENTIATION_TER_ID,0))</f>
        <v>#N/A</v>
      </c>
      <c r="AE3" s="743"/>
      <c r="AF3" s="743"/>
      <c r="AG3" s="743"/>
      <c r="AH3" s="743"/>
      <c r="AI3" s="743"/>
      <c r="AJ3" s="743"/>
      <c r="AK3" s="743"/>
      <c r="AL3" s="743"/>
      <c r="AM3" s="743"/>
      <c r="AN3" s="743"/>
      <c r="AO3" s="743"/>
      <c r="AP3" s="743"/>
      <c r="AQ3" s="743"/>
      <c r="AR3" s="743"/>
      <c r="AS3" s="743"/>
      <c r="AT3" s="743"/>
      <c r="AU3" s="743"/>
      <c r="AV3" s="743"/>
      <c r="AW3" s="743"/>
      <c r="AX3" s="743"/>
      <c r="AY3" s="743"/>
      <c r="AZ3" s="743"/>
      <c r="BA3" s="743"/>
      <c r="BB3" s="744"/>
      <c r="BC3" s="428" t="s">
        <v>401</v>
      </c>
      <c r="BF3" s="46" t="str">
        <f t="shared" si="0"/>
        <v>Территория действия тарифа</v>
      </c>
      <c r="BI3" s="4">
        <v>0</v>
      </c>
    </row>
    <row r="4" spans="5:61" ht="33.75" hidden="1" customHeight="1">
      <c r="E4" s="747"/>
      <c r="F4" s="747"/>
      <c r="G4" s="745">
        <v>1</v>
      </c>
      <c r="M4" s="43"/>
      <c r="N4" s="43"/>
      <c r="O4" s="43"/>
      <c r="P4" s="79"/>
      <c r="Q4" s="468"/>
      <c r="R4" s="119"/>
      <c r="S4" s="24" t="e">
        <f>INDEX(PT_DIFFERENTIATION_NUM_CS,MATCH(C4,PT_DIFFERENTIATION_CS_ID,0))</f>
        <v>#N/A</v>
      </c>
      <c r="T4" s="24" t="s">
        <v>519</v>
      </c>
      <c r="U4" s="29"/>
      <c r="V4" s="743"/>
      <c r="W4" s="743"/>
      <c r="X4" s="743"/>
      <c r="Y4" s="743"/>
      <c r="Z4" s="743"/>
      <c r="AA4" s="743"/>
      <c r="AB4" s="743"/>
      <c r="AC4" s="744"/>
      <c r="AD4" s="742" t="e">
        <f>INDEX(PT_DIFFERENTIATION_CS,MATCH(C4,PT_DIFFERENTIATION_CS_ID,0))</f>
        <v>#N/A</v>
      </c>
      <c r="AE4" s="743"/>
      <c r="AF4" s="743"/>
      <c r="AG4" s="743"/>
      <c r="AH4" s="743"/>
      <c r="AI4" s="743"/>
      <c r="AJ4" s="743"/>
      <c r="AK4" s="743"/>
      <c r="AL4" s="743"/>
      <c r="AM4" s="743"/>
      <c r="AN4" s="743"/>
      <c r="AO4" s="743"/>
      <c r="AP4" s="743"/>
      <c r="AQ4" s="743"/>
      <c r="AR4" s="743"/>
      <c r="AS4" s="743"/>
      <c r="AT4" s="743"/>
      <c r="AU4" s="743"/>
      <c r="AV4" s="743"/>
      <c r="AW4" s="743"/>
      <c r="AX4" s="743"/>
      <c r="AY4" s="743"/>
      <c r="AZ4" s="743"/>
      <c r="BA4" s="743"/>
      <c r="BB4" s="744"/>
      <c r="BC4" s="428" t="s">
        <v>520</v>
      </c>
      <c r="BF4" s="46" t="str">
        <f t="shared" si="0"/>
        <v>Наименование централизованной системы водоотведения</v>
      </c>
      <c r="BI4" s="4">
        <v>0</v>
      </c>
    </row>
    <row r="5" spans="5:61" s="46" customFormat="1" ht="14.25" hidden="1" customHeight="1">
      <c r="E5" s="747"/>
      <c r="F5" s="747"/>
      <c r="G5" s="747"/>
      <c r="H5" s="745">
        <v>1</v>
      </c>
      <c r="P5" s="478"/>
      <c r="Q5" s="479"/>
      <c r="R5" s="120"/>
      <c r="S5" s="174"/>
      <c r="T5" s="294"/>
      <c r="U5" s="174"/>
      <c r="V5" s="769"/>
      <c r="W5" s="769"/>
      <c r="X5" s="769"/>
      <c r="Y5" s="769"/>
      <c r="Z5" s="769"/>
      <c r="AA5" s="769"/>
      <c r="AB5" s="769"/>
      <c r="AC5" s="770"/>
      <c r="AD5" s="768"/>
      <c r="AE5" s="769"/>
      <c r="AF5" s="769"/>
      <c r="AG5" s="769"/>
      <c r="AH5" s="769"/>
      <c r="AI5" s="769"/>
      <c r="AJ5" s="769"/>
      <c r="AK5" s="769"/>
      <c r="AL5" s="769"/>
      <c r="AM5" s="769"/>
      <c r="AN5" s="769"/>
      <c r="AO5" s="769"/>
      <c r="AP5" s="769"/>
      <c r="AQ5" s="769"/>
      <c r="AR5" s="769"/>
      <c r="AS5" s="769"/>
      <c r="AT5" s="769"/>
      <c r="AU5" s="769"/>
      <c r="AV5" s="769"/>
      <c r="AW5" s="769"/>
      <c r="AX5" s="769"/>
      <c r="AY5" s="769"/>
      <c r="AZ5" s="769"/>
      <c r="BA5" s="769"/>
      <c r="BB5" s="770"/>
      <c r="BC5" s="174" t="s">
        <v>405</v>
      </c>
      <c r="BF5" s="46" t="str">
        <f t="shared" si="0"/>
        <v/>
      </c>
      <c r="BI5" s="46">
        <v>0</v>
      </c>
    </row>
    <row r="6" spans="5:61" s="46" customFormat="1" ht="14.25" hidden="1" customHeight="1">
      <c r="E6" s="747"/>
      <c r="F6" s="747"/>
      <c r="G6" s="747"/>
      <c r="H6" s="747"/>
      <c r="I6" s="745" t="str">
        <f>S5&amp;".1"</f>
        <v>.1</v>
      </c>
      <c r="L6" s="46" t="s">
        <v>406</v>
      </c>
      <c r="M6" s="160"/>
      <c r="N6" s="160"/>
      <c r="O6" s="160"/>
      <c r="P6" s="748">
        <v>1</v>
      </c>
      <c r="R6" s="120"/>
      <c r="S6" s="174"/>
      <c r="T6" s="174"/>
      <c r="U6" s="174"/>
      <c r="V6" s="769"/>
      <c r="W6" s="769"/>
      <c r="X6" s="769"/>
      <c r="Y6" s="769"/>
      <c r="Z6" s="769"/>
      <c r="AA6" s="769"/>
      <c r="AB6" s="769"/>
      <c r="AC6" s="770"/>
      <c r="AD6" s="768"/>
      <c r="AE6" s="769"/>
      <c r="AF6" s="769"/>
      <c r="AG6" s="769"/>
      <c r="AH6" s="769"/>
      <c r="AI6" s="769"/>
      <c r="AJ6" s="769"/>
      <c r="AK6" s="769"/>
      <c r="AL6" s="769"/>
      <c r="AM6" s="769"/>
      <c r="AN6" s="769"/>
      <c r="AO6" s="769"/>
      <c r="AP6" s="769"/>
      <c r="AQ6" s="769"/>
      <c r="AR6" s="769"/>
      <c r="AS6" s="769"/>
      <c r="AT6" s="769"/>
      <c r="AU6" s="769"/>
      <c r="AV6" s="769"/>
      <c r="AW6" s="769"/>
      <c r="AX6" s="769"/>
      <c r="AY6" s="769"/>
      <c r="AZ6" s="769"/>
      <c r="BA6" s="769"/>
      <c r="BB6" s="770"/>
      <c r="BC6" s="174"/>
      <c r="BF6" s="46" t="str">
        <f t="shared" si="0"/>
        <v/>
      </c>
      <c r="BI6" s="46">
        <v>0</v>
      </c>
    </row>
    <row r="7" spans="5:61" s="46" customFormat="1" ht="14.25" hidden="1" customHeight="1">
      <c r="E7" s="747"/>
      <c r="F7" s="747"/>
      <c r="G7" s="747"/>
      <c r="H7" s="747"/>
      <c r="I7" s="747"/>
      <c r="J7" s="745" t="str">
        <f>S5&amp;".1"</f>
        <v>.1</v>
      </c>
      <c r="M7" s="160"/>
      <c r="N7" s="160"/>
      <c r="O7" s="160"/>
      <c r="P7" s="748"/>
      <c r="Q7" s="748">
        <v>1</v>
      </c>
      <c r="R7" s="120"/>
      <c r="S7" s="174"/>
      <c r="T7" s="174"/>
      <c r="U7" s="174"/>
      <c r="V7" s="769"/>
      <c r="W7" s="769"/>
      <c r="X7" s="769"/>
      <c r="Y7" s="769"/>
      <c r="Z7" s="769"/>
      <c r="AA7" s="769"/>
      <c r="AB7" s="769"/>
      <c r="AC7" s="770"/>
      <c r="AD7" s="768"/>
      <c r="AE7" s="769"/>
      <c r="AF7" s="769"/>
      <c r="AG7" s="769"/>
      <c r="AH7" s="769"/>
      <c r="AI7" s="769"/>
      <c r="AJ7" s="769"/>
      <c r="AK7" s="769"/>
      <c r="AL7" s="769"/>
      <c r="AM7" s="769"/>
      <c r="AN7" s="769"/>
      <c r="AO7" s="769"/>
      <c r="AP7" s="769"/>
      <c r="AQ7" s="769"/>
      <c r="AR7" s="769"/>
      <c r="AS7" s="769"/>
      <c r="AT7" s="769"/>
      <c r="AU7" s="769"/>
      <c r="AV7" s="769"/>
      <c r="AW7" s="769"/>
      <c r="AX7" s="769"/>
      <c r="AY7" s="769"/>
      <c r="AZ7" s="769"/>
      <c r="BA7" s="769"/>
      <c r="BB7" s="770"/>
      <c r="BC7" s="174"/>
      <c r="BF7" s="46" t="str">
        <f t="shared" si="0"/>
        <v/>
      </c>
      <c r="BI7" s="46">
        <v>0</v>
      </c>
    </row>
    <row r="8" spans="5:61" ht="11.25" hidden="1" customHeight="1">
      <c r="E8" s="747"/>
      <c r="F8" s="747"/>
      <c r="G8" s="747"/>
      <c r="H8" s="747"/>
      <c r="I8" s="747"/>
      <c r="J8" s="747"/>
      <c r="K8" s="745" t="e">
        <f>S4&amp;".1"</f>
        <v>#N/A</v>
      </c>
      <c r="P8" s="748"/>
      <c r="Q8" s="748"/>
      <c r="R8" s="788">
        <v>1</v>
      </c>
      <c r="S8" s="724" t="e">
        <f>$K8</f>
        <v>#N/A</v>
      </c>
      <c r="T8" s="799"/>
      <c r="U8" s="29"/>
      <c r="V8" s="168"/>
      <c r="W8" s="427"/>
      <c r="X8" s="168"/>
      <c r="Y8" s="427"/>
      <c r="Z8" s="544"/>
      <c r="AA8" s="69" t="s">
        <v>66</v>
      </c>
      <c r="AB8" s="544"/>
      <c r="AC8" s="69" t="s">
        <v>66</v>
      </c>
      <c r="AD8" s="686" t="s">
        <v>66</v>
      </c>
      <c r="AE8" s="784"/>
      <c r="AF8" s="722">
        <v>1</v>
      </c>
      <c r="AG8" s="798"/>
      <c r="AH8" s="688" t="s">
        <v>66</v>
      </c>
      <c r="AI8" s="784"/>
      <c r="AJ8" s="722">
        <v>1</v>
      </c>
      <c r="AK8" s="688" t="s">
        <v>22</v>
      </c>
      <c r="AL8" s="688" t="s">
        <v>66</v>
      </c>
      <c r="AM8" s="674"/>
      <c r="AN8" s="722">
        <v>1</v>
      </c>
      <c r="AO8" s="798"/>
      <c r="AP8" s="776" t="s">
        <v>66</v>
      </c>
      <c r="AQ8" s="29"/>
      <c r="AR8" s="148">
        <v>1</v>
      </c>
      <c r="AS8" s="74" t="s">
        <v>22</v>
      </c>
      <c r="AT8" s="168"/>
      <c r="AU8" s="427"/>
      <c r="AV8" s="168"/>
      <c r="AW8" s="427"/>
      <c r="AX8" s="544"/>
      <c r="AY8" s="69" t="s">
        <v>66</v>
      </c>
      <c r="AZ8" s="544"/>
      <c r="BA8" s="69" t="s">
        <v>66</v>
      </c>
      <c r="BB8" s="345"/>
      <c r="BC8" s="762" t="s">
        <v>504</v>
      </c>
      <c r="BF8" s="46" t="str">
        <f t="shared" si="0"/>
        <v/>
      </c>
      <c r="BI8" s="4">
        <v>0</v>
      </c>
    </row>
    <row r="9" spans="5:61" ht="11.25" hidden="1" customHeight="1">
      <c r="E9" s="747"/>
      <c r="F9" s="747"/>
      <c r="G9" s="747"/>
      <c r="H9" s="747"/>
      <c r="I9" s="747"/>
      <c r="J9" s="747"/>
      <c r="K9" s="745"/>
      <c r="P9" s="748"/>
      <c r="Q9" s="748"/>
      <c r="R9" s="788"/>
      <c r="S9" s="725"/>
      <c r="T9" s="800"/>
      <c r="U9" s="29"/>
      <c r="V9" s="457"/>
      <c r="W9" s="477"/>
      <c r="X9" s="457"/>
      <c r="Y9" s="477"/>
      <c r="Z9" s="457"/>
      <c r="AA9" s="457"/>
      <c r="AB9" s="457"/>
      <c r="AC9" s="457"/>
      <c r="AD9" s="689"/>
      <c r="AE9" s="784"/>
      <c r="AF9" s="722"/>
      <c r="AG9" s="798"/>
      <c r="AH9" s="688"/>
      <c r="AI9" s="784"/>
      <c r="AJ9" s="722"/>
      <c r="AK9" s="688"/>
      <c r="AL9" s="688"/>
      <c r="AM9" s="677"/>
      <c r="AN9" s="722"/>
      <c r="AO9" s="798"/>
      <c r="AP9" s="802"/>
      <c r="AQ9" s="98"/>
      <c r="AR9" s="37"/>
      <c r="AS9" s="37" t="s">
        <v>505</v>
      </c>
      <c r="AT9" s="457"/>
      <c r="AU9" s="477"/>
      <c r="AV9" s="457"/>
      <c r="AW9" s="477"/>
      <c r="AX9" s="457"/>
      <c r="AY9" s="457"/>
      <c r="AZ9" s="457"/>
      <c r="BA9" s="457"/>
      <c r="BB9" s="461"/>
      <c r="BC9" s="763"/>
      <c r="BI9" s="4">
        <v>0</v>
      </c>
    </row>
    <row r="10" spans="5:61" ht="11.25" hidden="1" customHeight="1">
      <c r="E10" s="747"/>
      <c r="F10" s="747"/>
      <c r="G10" s="747"/>
      <c r="H10" s="747"/>
      <c r="I10" s="747"/>
      <c r="J10" s="747"/>
      <c r="K10" s="745"/>
      <c r="P10" s="748"/>
      <c r="Q10" s="748"/>
      <c r="R10" s="788"/>
      <c r="S10" s="725"/>
      <c r="T10" s="800"/>
      <c r="U10" s="29"/>
      <c r="V10" s="457"/>
      <c r="W10" s="477"/>
      <c r="X10" s="457"/>
      <c r="Y10" s="477"/>
      <c r="Z10" s="457"/>
      <c r="AA10" s="457"/>
      <c r="AB10" s="457"/>
      <c r="AC10" s="457"/>
      <c r="AD10" s="689"/>
      <c r="AE10" s="784"/>
      <c r="AF10" s="722"/>
      <c r="AG10" s="798"/>
      <c r="AH10" s="688"/>
      <c r="AI10" s="784"/>
      <c r="AJ10" s="722"/>
      <c r="AK10" s="688"/>
      <c r="AL10" s="688"/>
      <c r="AM10" s="98"/>
      <c r="AN10" s="130"/>
      <c r="AO10" s="130" t="s">
        <v>525</v>
      </c>
      <c r="AP10" s="37"/>
      <c r="AQ10" s="37"/>
      <c r="AR10" s="37"/>
      <c r="AS10" s="457"/>
      <c r="AT10" s="457"/>
      <c r="AU10" s="477"/>
      <c r="AV10" s="457"/>
      <c r="AW10" s="477"/>
      <c r="AX10" s="457"/>
      <c r="AY10" s="457"/>
      <c r="AZ10" s="457"/>
      <c r="BA10" s="457"/>
      <c r="BB10" s="461"/>
      <c r="BC10" s="763"/>
      <c r="BI10" s="4">
        <v>0</v>
      </c>
    </row>
    <row r="11" spans="5:61" ht="11.25" hidden="1" customHeight="1">
      <c r="E11" s="747"/>
      <c r="F11" s="747"/>
      <c r="G11" s="747"/>
      <c r="H11" s="747"/>
      <c r="I11" s="747"/>
      <c r="J11" s="747"/>
      <c r="K11" s="745"/>
      <c r="P11" s="748"/>
      <c r="Q11" s="748"/>
      <c r="R11" s="788"/>
      <c r="S11" s="725"/>
      <c r="T11" s="800"/>
      <c r="U11" s="29"/>
      <c r="V11" s="457"/>
      <c r="W11" s="477"/>
      <c r="X11" s="457"/>
      <c r="Y11" s="477"/>
      <c r="Z11" s="457"/>
      <c r="AA11" s="457"/>
      <c r="AB11" s="457"/>
      <c r="AC11" s="457"/>
      <c r="AD11" s="689"/>
      <c r="AE11" s="784"/>
      <c r="AF11" s="722"/>
      <c r="AG11" s="798"/>
      <c r="AH11" s="688"/>
      <c r="AI11" s="98"/>
      <c r="AJ11" s="37"/>
      <c r="AK11" s="37" t="s">
        <v>526</v>
      </c>
      <c r="AL11" s="457"/>
      <c r="AM11" s="457"/>
      <c r="AN11" s="457"/>
      <c r="AO11" s="457"/>
      <c r="AP11" s="457"/>
      <c r="AQ11" s="457"/>
      <c r="AR11" s="457"/>
      <c r="AS11" s="457"/>
      <c r="AT11" s="457"/>
      <c r="AU11" s="477"/>
      <c r="AV11" s="457"/>
      <c r="AW11" s="477"/>
      <c r="AX11" s="457"/>
      <c r="AY11" s="457"/>
      <c r="AZ11" s="457"/>
      <c r="BA11" s="457"/>
      <c r="BB11" s="461"/>
      <c r="BC11" s="763"/>
      <c r="BI11" s="4">
        <v>0</v>
      </c>
    </row>
    <row r="12" spans="5:61" ht="11.25" hidden="1" customHeight="1">
      <c r="E12" s="747"/>
      <c r="F12" s="747"/>
      <c r="G12" s="747"/>
      <c r="H12" s="747"/>
      <c r="I12" s="747"/>
      <c r="J12" s="747"/>
      <c r="K12" s="745"/>
      <c r="P12" s="748"/>
      <c r="Q12" s="748"/>
      <c r="R12" s="788"/>
      <c r="S12" s="726"/>
      <c r="T12" s="801"/>
      <c r="U12" s="29"/>
      <c r="V12" s="457"/>
      <c r="W12" s="458" t="str">
        <f>Z8&amp;"-"&amp;AB8</f>
        <v>-</v>
      </c>
      <c r="X12" s="457"/>
      <c r="Y12" s="458" t="str">
        <f>AB8&amp;"-"&amp;AD8</f>
        <v>-да</v>
      </c>
      <c r="Z12" s="457"/>
      <c r="AA12" s="457"/>
      <c r="AB12" s="457"/>
      <c r="AC12" s="457"/>
      <c r="AD12" s="687"/>
      <c r="AE12" s="98"/>
      <c r="AF12" s="37"/>
      <c r="AG12" s="37" t="s">
        <v>508</v>
      </c>
      <c r="AH12" s="457"/>
      <c r="AI12" s="457"/>
      <c r="AJ12" s="457"/>
      <c r="AK12" s="457"/>
      <c r="AL12" s="457"/>
      <c r="AM12" s="457"/>
      <c r="AN12" s="457"/>
      <c r="AO12" s="457"/>
      <c r="AP12" s="457"/>
      <c r="AQ12" s="457"/>
      <c r="AR12" s="457"/>
      <c r="AS12" s="457"/>
      <c r="AT12" s="457"/>
      <c r="AU12" s="458" t="str">
        <f>AX8&amp;"-"&amp;AZ8</f>
        <v>-</v>
      </c>
      <c r="AV12" s="457"/>
      <c r="AW12" s="458" t="str">
        <f>AZ8&amp;"-"&amp;BB8</f>
        <v>-</v>
      </c>
      <c r="AX12" s="457"/>
      <c r="AY12" s="457"/>
      <c r="AZ12" s="457"/>
      <c r="BA12" s="457"/>
      <c r="BB12" s="460" t="str">
        <f>BE8&amp;"-"&amp;BG8</f>
        <v>-</v>
      </c>
      <c r="BC12" s="763"/>
      <c r="BF12" s="46" t="str">
        <f t="shared" ref="BF12:BF18" si="1">IF(T12="","",T12)</f>
        <v/>
      </c>
      <c r="BI12" s="4">
        <v>0</v>
      </c>
    </row>
    <row r="13" spans="5:61" ht="11.25" hidden="1" customHeight="1">
      <c r="E13" s="747"/>
      <c r="F13" s="747"/>
      <c r="G13" s="747"/>
      <c r="H13" s="747"/>
      <c r="I13" s="747"/>
      <c r="J13" s="745"/>
      <c r="P13" s="748"/>
      <c r="Q13" s="748"/>
      <c r="R13" s="120"/>
      <c r="S13" s="434"/>
      <c r="T13" s="37" t="s">
        <v>471</v>
      </c>
      <c r="U13" s="58"/>
      <c r="V13" s="58"/>
      <c r="W13" s="58"/>
      <c r="X13" s="58"/>
      <c r="Y13" s="58"/>
      <c r="Z13" s="58"/>
      <c r="AA13" s="58"/>
      <c r="AB13" s="58"/>
      <c r="AC13" s="58"/>
      <c r="AD13" s="184"/>
      <c r="AE13" s="58"/>
      <c r="AF13" s="58"/>
      <c r="AG13" s="58"/>
      <c r="AH13" s="58"/>
      <c r="AI13" s="58"/>
      <c r="AJ13" s="58"/>
      <c r="AK13" s="58"/>
      <c r="AL13" s="58"/>
      <c r="AM13" s="58"/>
      <c r="AN13" s="58"/>
      <c r="AO13" s="58"/>
      <c r="AP13" s="58"/>
      <c r="AQ13" s="58"/>
      <c r="AR13" s="58"/>
      <c r="AS13" s="58"/>
      <c r="AT13" s="58"/>
      <c r="AU13" s="58"/>
      <c r="AV13" s="58"/>
      <c r="AW13" s="58"/>
      <c r="AX13" s="58"/>
      <c r="AY13" s="58"/>
      <c r="AZ13" s="58"/>
      <c r="BA13" s="58"/>
      <c r="BB13" s="59"/>
      <c r="BC13" s="764"/>
      <c r="BF13" s="46" t="str">
        <f t="shared" si="1"/>
        <v>Добавить строку</v>
      </c>
      <c r="BI13" s="4">
        <v>0</v>
      </c>
    </row>
    <row r="14" spans="5:61" s="46" customFormat="1" ht="14.25" hidden="1" customHeight="1">
      <c r="E14" s="747"/>
      <c r="F14" s="747"/>
      <c r="G14" s="747"/>
      <c r="H14" s="747"/>
      <c r="I14" s="745"/>
      <c r="M14" s="160"/>
      <c r="N14" s="160"/>
      <c r="O14" s="160"/>
      <c r="P14" s="748"/>
      <c r="R14" s="120"/>
      <c r="S14" s="455"/>
      <c r="T14" s="354"/>
      <c r="U14" s="354"/>
      <c r="V14" s="354"/>
      <c r="W14" s="354"/>
      <c r="X14" s="354"/>
      <c r="Y14" s="354"/>
      <c r="Z14" s="354"/>
      <c r="AA14" s="354"/>
      <c r="AB14" s="354"/>
      <c r="AC14" s="354"/>
      <c r="AD14" s="354"/>
      <c r="AE14" s="354"/>
      <c r="AF14" s="354"/>
      <c r="AG14" s="354"/>
      <c r="AH14" s="354"/>
      <c r="AI14" s="354"/>
      <c r="AJ14" s="354"/>
      <c r="AK14" s="354"/>
      <c r="AL14" s="354"/>
      <c r="AM14" s="354"/>
      <c r="AN14" s="354"/>
      <c r="AO14" s="354"/>
      <c r="AP14" s="354"/>
      <c r="AQ14" s="354"/>
      <c r="AR14" s="354"/>
      <c r="AS14" s="354"/>
      <c r="AT14" s="354"/>
      <c r="AU14" s="354"/>
      <c r="AV14" s="354"/>
      <c r="AW14" s="354"/>
      <c r="AX14" s="354"/>
      <c r="AY14" s="354"/>
      <c r="AZ14" s="354"/>
      <c r="BA14" s="354"/>
      <c r="BB14" s="354"/>
      <c r="BC14" s="314"/>
      <c r="BF14" s="46" t="str">
        <f t="shared" si="1"/>
        <v/>
      </c>
      <c r="BI14" s="46">
        <v>0</v>
      </c>
    </row>
    <row r="15" spans="5:61" s="46" customFormat="1" ht="14.25" hidden="1" customHeight="1">
      <c r="E15" s="747"/>
      <c r="F15" s="747"/>
      <c r="G15" s="747"/>
      <c r="H15" s="745"/>
      <c r="Q15" s="446"/>
      <c r="R15" s="120"/>
      <c r="S15" s="455"/>
      <c r="T15" s="354"/>
      <c r="U15" s="354"/>
      <c r="V15" s="354"/>
      <c r="W15" s="354"/>
      <c r="X15" s="354"/>
      <c r="Y15" s="354"/>
      <c r="Z15" s="354"/>
      <c r="AA15" s="354"/>
      <c r="AB15" s="354"/>
      <c r="AC15" s="354"/>
      <c r="AD15" s="354"/>
      <c r="AE15" s="354"/>
      <c r="AF15" s="354"/>
      <c r="AG15" s="354"/>
      <c r="AH15" s="354"/>
      <c r="AI15" s="354"/>
      <c r="AJ15" s="354"/>
      <c r="AK15" s="354"/>
      <c r="AL15" s="354"/>
      <c r="AM15" s="354"/>
      <c r="AN15" s="354"/>
      <c r="AO15" s="354"/>
      <c r="AP15" s="354"/>
      <c r="AQ15" s="354"/>
      <c r="AR15" s="354"/>
      <c r="AS15" s="354"/>
      <c r="AT15" s="354"/>
      <c r="AU15" s="354"/>
      <c r="AV15" s="354"/>
      <c r="AW15" s="354"/>
      <c r="AX15" s="354"/>
      <c r="AY15" s="354"/>
      <c r="AZ15" s="354"/>
      <c r="BA15" s="354"/>
      <c r="BB15" s="354"/>
      <c r="BC15" s="314"/>
      <c r="BF15" s="46" t="str">
        <f t="shared" si="1"/>
        <v/>
      </c>
      <c r="BI15" s="46">
        <v>0</v>
      </c>
    </row>
    <row r="16" spans="5:61" s="46" customFormat="1" ht="14.25" hidden="1" customHeight="1">
      <c r="E16" s="747"/>
      <c r="F16" s="747"/>
      <c r="G16" s="745"/>
      <c r="Q16" s="446"/>
      <c r="S16" s="449"/>
      <c r="T16" s="160"/>
      <c r="U16" s="160"/>
      <c r="V16" s="160"/>
      <c r="W16" s="160"/>
      <c r="X16" s="160"/>
      <c r="Y16" s="160"/>
      <c r="Z16" s="160"/>
      <c r="AA16" s="160"/>
      <c r="AB16" s="160"/>
      <c r="AC16" s="160"/>
      <c r="AD16" s="160"/>
      <c r="AE16" s="160"/>
      <c r="AF16" s="160"/>
      <c r="AG16" s="160"/>
      <c r="AH16" s="160"/>
      <c r="AI16" s="160"/>
      <c r="AJ16" s="160"/>
      <c r="AK16" s="160"/>
      <c r="AL16" s="160"/>
      <c r="AM16" s="160"/>
      <c r="AN16" s="160"/>
      <c r="AO16" s="160"/>
      <c r="AP16" s="160"/>
      <c r="AQ16" s="160"/>
      <c r="AR16" s="160"/>
      <c r="AS16" s="160"/>
      <c r="AT16" s="160"/>
      <c r="AU16" s="160"/>
      <c r="AV16" s="160"/>
      <c r="AW16" s="160"/>
      <c r="AX16" s="160"/>
      <c r="AY16" s="160"/>
      <c r="AZ16" s="160"/>
      <c r="BA16" s="160"/>
      <c r="BB16" s="160"/>
      <c r="BC16" s="160"/>
      <c r="BF16" s="46" t="str">
        <f t="shared" si="1"/>
        <v/>
      </c>
      <c r="BI16" s="46">
        <v>0</v>
      </c>
    </row>
    <row r="17" spans="1:61" s="46" customFormat="1" ht="14.25" hidden="1" customHeight="1">
      <c r="E17" s="747"/>
      <c r="F17" s="745"/>
      <c r="M17" s="160"/>
      <c r="N17" s="160"/>
      <c r="Q17" s="446"/>
      <c r="S17" s="449"/>
      <c r="T17" s="160" t="s">
        <v>418</v>
      </c>
      <c r="U17" s="160"/>
      <c r="V17" s="160"/>
      <c r="W17" s="160"/>
      <c r="X17" s="160"/>
      <c r="Y17" s="160"/>
      <c r="Z17" s="160"/>
      <c r="AA17" s="160"/>
      <c r="AB17" s="160"/>
      <c r="AC17" s="160"/>
      <c r="AD17" s="160"/>
      <c r="AE17" s="160"/>
      <c r="AF17" s="160"/>
      <c r="AG17" s="160"/>
      <c r="AH17" s="160"/>
      <c r="AI17" s="160"/>
      <c r="AJ17" s="160"/>
      <c r="AK17" s="160"/>
      <c r="AL17" s="160"/>
      <c r="AM17" s="160"/>
      <c r="AN17" s="160"/>
      <c r="AO17" s="160"/>
      <c r="AP17" s="160"/>
      <c r="AQ17" s="160"/>
      <c r="AR17" s="160"/>
      <c r="AS17" s="160"/>
      <c r="AT17" s="160"/>
      <c r="AU17" s="160"/>
      <c r="AV17" s="160"/>
      <c r="AW17" s="160"/>
      <c r="AX17" s="160"/>
      <c r="AY17" s="160"/>
      <c r="AZ17" s="160"/>
      <c r="BA17" s="160"/>
      <c r="BB17" s="160"/>
      <c r="BC17" s="160"/>
      <c r="BF17" s="46" t="str">
        <f t="shared" si="1"/>
        <v>Добавить централизованную систему для дифференциации</v>
      </c>
      <c r="BI17" s="46">
        <v>0</v>
      </c>
    </row>
    <row r="18" spans="1:61" s="46" customFormat="1" ht="14.25" hidden="1" customHeight="1">
      <c r="E18" s="745"/>
      <c r="M18" s="160"/>
      <c r="N18" s="160"/>
      <c r="Q18" s="446"/>
      <c r="S18" s="449"/>
      <c r="T18" s="160" t="s">
        <v>419</v>
      </c>
      <c r="U18" s="160"/>
      <c r="V18" s="160"/>
      <c r="W18" s="160"/>
      <c r="X18" s="160"/>
      <c r="Y18" s="160"/>
      <c r="Z18" s="160"/>
      <c r="AA18" s="160"/>
      <c r="AB18" s="160"/>
      <c r="AC18" s="160"/>
      <c r="AD18" s="160"/>
      <c r="AE18" s="160"/>
      <c r="AF18" s="160"/>
      <c r="AG18" s="160"/>
      <c r="AH18" s="160"/>
      <c r="AI18" s="160"/>
      <c r="AJ18" s="160"/>
      <c r="AK18" s="160"/>
      <c r="AL18" s="160"/>
      <c r="AM18" s="160"/>
      <c r="AN18" s="160"/>
      <c r="AO18" s="160"/>
      <c r="AP18" s="160"/>
      <c r="AQ18" s="160"/>
      <c r="AR18" s="160"/>
      <c r="AS18" s="160"/>
      <c r="AT18" s="160"/>
      <c r="AU18" s="160"/>
      <c r="AV18" s="160"/>
      <c r="AW18" s="160"/>
      <c r="AX18" s="160"/>
      <c r="AY18" s="160"/>
      <c r="AZ18" s="160"/>
      <c r="BA18" s="160"/>
      <c r="BB18" s="160"/>
      <c r="BC18" s="160"/>
      <c r="BF18" s="46" t="str">
        <f t="shared" si="1"/>
        <v>Добавить территорию для дифференциации</v>
      </c>
      <c r="BI18" s="46">
        <v>0</v>
      </c>
    </row>
    <row r="19" spans="1:61" ht="14.25" hidden="1" customHeight="1">
      <c r="BI19" s="4">
        <v>0</v>
      </c>
    </row>
    <row r="20" spans="1:61" ht="14.25" hidden="1" customHeight="1">
      <c r="AD20" s="160" t="s">
        <v>19</v>
      </c>
      <c r="AE20" s="478"/>
      <c r="AF20" s="160">
        <v>1</v>
      </c>
      <c r="AG20" s="160"/>
      <c r="AH20" s="160" t="s">
        <v>19</v>
      </c>
      <c r="AI20" s="478"/>
      <c r="AJ20" s="160">
        <v>1</v>
      </c>
      <c r="AK20" s="160"/>
      <c r="AL20" s="160" t="s">
        <v>19</v>
      </c>
      <c r="AM20" s="46"/>
      <c r="AN20" s="160">
        <v>1</v>
      </c>
      <c r="AO20" s="46"/>
      <c r="AP20" s="160" t="s">
        <v>19</v>
      </c>
      <c r="AQ20" s="46"/>
      <c r="AR20" s="160">
        <v>1</v>
      </c>
      <c r="AS20" s="46"/>
      <c r="AT20" s="110"/>
      <c r="AU20" s="123"/>
      <c r="AV20" s="110"/>
      <c r="AW20" s="123"/>
      <c r="AX20" s="547"/>
      <c r="AY20" s="332" t="s">
        <v>66</v>
      </c>
      <c r="AZ20" s="547"/>
      <c r="BA20" s="332" t="s">
        <v>66</v>
      </c>
      <c r="BI20" s="4">
        <v>0</v>
      </c>
    </row>
    <row r="21" spans="1:61" ht="14.25" hidden="1" customHeight="1">
      <c r="BD21" s="117"/>
      <c r="BE21" s="117"/>
      <c r="BF21" s="117"/>
      <c r="BG21" s="117"/>
      <c r="BH21" s="117"/>
      <c r="BI21" s="4">
        <v>0</v>
      </c>
    </row>
    <row r="22" spans="1:61" ht="14.25" hidden="1" customHeight="1">
      <c r="O22" s="261" t="s">
        <v>420</v>
      </c>
      <c r="Z22" s="31"/>
      <c r="AB22" s="31"/>
      <c r="AX22" s="31"/>
      <c r="AZ22" s="31"/>
      <c r="BD22" s="117"/>
      <c r="BE22" s="117"/>
      <c r="BF22" s="117"/>
      <c r="BG22" s="117"/>
      <c r="BH22" s="117"/>
      <c r="BI22" s="4">
        <v>0</v>
      </c>
    </row>
    <row r="23" spans="1:61" ht="14.25" hidden="1" customHeight="1">
      <c r="BD23" s="117"/>
      <c r="BE23" s="117"/>
      <c r="BF23" s="117"/>
      <c r="BG23" s="117"/>
      <c r="BH23" s="117"/>
      <c r="BI23" s="4">
        <v>0</v>
      </c>
    </row>
    <row r="24" spans="1:61" s="43" customFormat="1" ht="14.25" hidden="1" customHeight="1">
      <c r="M24" s="167"/>
      <c r="N24" s="167"/>
      <c r="O24" s="43" t="s">
        <v>421</v>
      </c>
      <c r="P24" s="167"/>
      <c r="Q24" s="452"/>
      <c r="R24" s="452"/>
      <c r="AA24" s="43" t="s">
        <v>423</v>
      </c>
      <c r="AC24" s="43" t="s">
        <v>424</v>
      </c>
      <c r="AD24" s="43" t="s">
        <v>472</v>
      </c>
      <c r="AH24" s="43" t="s">
        <v>472</v>
      </c>
      <c r="AK24" s="43" t="s">
        <v>509</v>
      </c>
      <c r="AL24" s="43" t="s">
        <v>472</v>
      </c>
      <c r="AP24" s="43" t="s">
        <v>472</v>
      </c>
      <c r="AY24" s="43" t="s">
        <v>423</v>
      </c>
      <c r="BA24" s="43" t="s">
        <v>424</v>
      </c>
      <c r="BD24" s="46"/>
      <c r="BE24" s="46"/>
      <c r="BF24" s="46"/>
      <c r="BG24" s="46"/>
      <c r="BH24" s="46"/>
      <c r="BI24" s="43">
        <v>0</v>
      </c>
    </row>
    <row r="25" spans="1:61" ht="14.25" hidden="1" customHeight="1">
      <c r="O25" s="43"/>
      <c r="BD25" s="117"/>
      <c r="BE25" s="117"/>
      <c r="BF25" s="117"/>
      <c r="BG25" s="117"/>
      <c r="BH25" s="117"/>
      <c r="BI25" s="4">
        <v>0</v>
      </c>
    </row>
    <row r="26" spans="1:61" ht="14.25" hidden="1" customHeight="1">
      <c r="O26" s="43"/>
      <c r="BD26" s="117"/>
      <c r="BE26" s="117"/>
      <c r="BF26" s="117"/>
      <c r="BG26" s="117"/>
      <c r="BH26" s="117"/>
      <c r="BI26" s="4">
        <v>0</v>
      </c>
    </row>
    <row r="27" spans="1:61" ht="14.65" customHeight="1">
      <c r="Q27" s="97"/>
      <c r="R27" s="19"/>
      <c r="S27" s="6"/>
      <c r="T27" s="6"/>
      <c r="U27" s="6"/>
      <c r="BI27" s="4">
        <v>14</v>
      </c>
    </row>
    <row r="28" spans="1:61" ht="14.65" customHeight="1">
      <c r="Q28" s="97"/>
      <c r="R28" s="19"/>
      <c r="S28" s="697" t="str">
        <f>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697"/>
      <c r="U28" s="697"/>
      <c r="V28" s="697"/>
      <c r="W28" s="697"/>
      <c r="X28" s="697"/>
      <c r="Y28" s="697"/>
      <c r="Z28" s="697"/>
      <c r="AA28" s="697"/>
      <c r="AB28" s="697"/>
      <c r="AC28" s="697"/>
      <c r="AD28" s="697"/>
      <c r="AE28" s="697"/>
      <c r="AF28" s="697"/>
      <c r="AG28" s="697"/>
      <c r="AH28" s="697"/>
      <c r="AI28" s="697"/>
      <c r="AJ28" s="697"/>
      <c r="AK28" s="697"/>
      <c r="AL28" s="697"/>
      <c r="AM28" s="697"/>
      <c r="AN28" s="697"/>
      <c r="AO28" s="697"/>
      <c r="AP28" s="697"/>
      <c r="AQ28" s="697"/>
      <c r="AR28" s="697"/>
      <c r="AS28" s="697"/>
      <c r="AT28" s="697"/>
      <c r="AU28" s="697"/>
      <c r="AV28" s="697"/>
      <c r="AW28" s="697"/>
      <c r="AX28" s="697"/>
      <c r="AY28" s="697"/>
      <c r="AZ28" s="697"/>
      <c r="BA28" s="40"/>
      <c r="BI28" s="4">
        <v>14</v>
      </c>
    </row>
    <row r="29" spans="1:61" ht="14.65" customHeight="1">
      <c r="Q29" s="97"/>
      <c r="R29" s="19"/>
      <c r="S29" s="712" t="str">
        <f>IF(org=0,"Не определено",org)</f>
        <v>ООО "Восточная Тепловая компания"</v>
      </c>
      <c r="T29" s="712"/>
      <c r="U29" s="712"/>
      <c r="V29" s="712"/>
      <c r="W29" s="712"/>
      <c r="X29" s="712"/>
      <c r="Y29" s="712"/>
      <c r="Z29" s="712"/>
      <c r="AA29" s="712"/>
      <c r="AB29" s="712"/>
      <c r="AC29" s="712"/>
      <c r="AD29" s="712"/>
      <c r="AE29" s="712"/>
      <c r="AF29" s="712"/>
      <c r="AG29" s="712"/>
      <c r="AH29" s="712"/>
      <c r="AI29" s="712"/>
      <c r="AJ29" s="712"/>
      <c r="AK29" s="712"/>
      <c r="AL29" s="712"/>
      <c r="AM29" s="712"/>
      <c r="AN29" s="712"/>
      <c r="AO29" s="712"/>
      <c r="AP29" s="712"/>
      <c r="AQ29" s="712"/>
      <c r="AR29" s="712"/>
      <c r="AS29" s="712"/>
      <c r="AT29" s="712"/>
      <c r="AU29" s="712"/>
      <c r="AV29" s="712"/>
      <c r="AW29" s="712"/>
      <c r="AX29" s="712"/>
      <c r="AY29" s="712"/>
      <c r="AZ29" s="712"/>
      <c r="BA29" s="40"/>
      <c r="BI29" s="4">
        <v>14</v>
      </c>
    </row>
    <row r="30" spans="1:61" ht="14.25" hidden="1" customHeight="1">
      <c r="Q30" s="97"/>
      <c r="R30" s="19"/>
      <c r="S30" s="6"/>
      <c r="T30" s="6"/>
      <c r="U30" s="6"/>
      <c r="V30" s="109"/>
      <c r="W30" s="109"/>
      <c r="X30" s="109"/>
      <c r="Y30" s="109"/>
      <c r="Z30" s="109"/>
      <c r="AA30" s="109"/>
      <c r="AB30" s="109"/>
      <c r="AC30" s="109"/>
      <c r="AD30" s="109"/>
      <c r="AE30" s="109"/>
      <c r="AF30" s="109"/>
      <c r="AG30" s="109"/>
      <c r="AH30" s="109"/>
      <c r="AI30" s="109"/>
      <c r="AJ30" s="109"/>
      <c r="AK30" s="109"/>
      <c r="AL30" s="109"/>
      <c r="AM30" s="109"/>
      <c r="AN30" s="109"/>
      <c r="AO30" s="109"/>
      <c r="AP30" s="109"/>
      <c r="AQ30" s="109"/>
      <c r="AR30" s="109"/>
      <c r="AS30" s="109"/>
      <c r="AT30" s="109"/>
      <c r="AU30" s="109"/>
      <c r="AV30" s="109"/>
      <c r="AW30" s="109"/>
      <c r="AX30" s="109"/>
      <c r="AY30" s="109"/>
      <c r="AZ30" s="109"/>
      <c r="BA30" s="109"/>
      <c r="BI30" s="4">
        <v>0</v>
      </c>
    </row>
    <row r="31" spans="1:61" s="22" customFormat="1" ht="25.5" hidden="1" customHeight="1">
      <c r="A31" s="43"/>
      <c r="B31" s="43"/>
      <c r="C31" s="43"/>
      <c r="D31" s="43"/>
      <c r="E31" s="43"/>
      <c r="F31" s="43"/>
      <c r="G31" s="43"/>
      <c r="H31" s="43"/>
      <c r="I31" s="43"/>
      <c r="J31" s="43"/>
      <c r="K31" s="43"/>
      <c r="L31" s="43"/>
      <c r="M31" s="43"/>
      <c r="N31" s="43"/>
      <c r="O31" s="43"/>
      <c r="P31" s="43"/>
      <c r="Q31" s="43"/>
      <c r="S31" s="721" t="s">
        <v>42</v>
      </c>
      <c r="T31" s="721"/>
      <c r="U31" s="453"/>
      <c r="V31" s="741" t="str">
        <f>IF(TITLE_NAME_OR_PR_CHANGE="",IF(TITLE_NAME_OR_PR="","",TITLE_NAME_OR_PR),TITLE_NAME_OR_PR_CHANGE)</f>
        <v/>
      </c>
      <c r="W31" s="741"/>
      <c r="X31" s="741"/>
      <c r="Y31" s="741"/>
      <c r="Z31" s="741"/>
      <c r="AA31" s="741"/>
      <c r="AB31" s="741"/>
      <c r="AC31" s="4"/>
      <c r="AD31" s="741" t="str">
        <f>IF(TITLE_NAME_OR_PR_CHANGE="",IF(TITLE_NAME_OR_PR="","",TITLE_NAME_OR_PR),TITLE_NAME_OR_PR_CHANGE)</f>
        <v/>
      </c>
      <c r="AE31" s="741"/>
      <c r="AF31" s="741"/>
      <c r="AG31" s="741"/>
      <c r="AH31" s="741"/>
      <c r="AI31" s="741"/>
      <c r="AJ31" s="741"/>
      <c r="AK31" s="741"/>
      <c r="AL31" s="741"/>
      <c r="AM31" s="741"/>
      <c r="AN31" s="741"/>
      <c r="AO31" s="741"/>
      <c r="AP31" s="741"/>
      <c r="AQ31" s="741"/>
      <c r="AR31" s="741"/>
      <c r="AS31" s="741"/>
      <c r="AT31" s="741"/>
      <c r="AU31" s="741"/>
      <c r="AV31" s="741"/>
      <c r="AW31" s="741"/>
      <c r="AX31" s="741"/>
      <c r="AY31" s="741"/>
      <c r="AZ31" s="741"/>
      <c r="BA31" s="4"/>
      <c r="BB31" s="4"/>
      <c r="BC31" s="96"/>
      <c r="BD31" s="46"/>
      <c r="BE31" s="46"/>
      <c r="BF31" s="46"/>
      <c r="BG31" s="46"/>
      <c r="BH31" s="46"/>
      <c r="BI31" s="22">
        <v>0</v>
      </c>
    </row>
    <row r="32" spans="1:61" s="22" customFormat="1" ht="18.75" hidden="1" customHeight="1">
      <c r="A32" s="43"/>
      <c r="B32" s="43"/>
      <c r="C32" s="43"/>
      <c r="D32" s="43"/>
      <c r="E32" s="43"/>
      <c r="F32" s="43"/>
      <c r="G32" s="43"/>
      <c r="H32" s="43"/>
      <c r="I32" s="43"/>
      <c r="J32" s="43"/>
      <c r="K32" s="43"/>
      <c r="L32" s="43"/>
      <c r="M32" s="43"/>
      <c r="N32" s="43"/>
      <c r="O32" s="43"/>
      <c r="P32" s="43"/>
      <c r="Q32" s="43"/>
      <c r="S32" s="721" t="s">
        <v>426</v>
      </c>
      <c r="T32" s="721"/>
      <c r="U32" s="453"/>
      <c r="V32" s="740" t="str">
        <f>IF(TITLE_DATE_PR_CHANGE="",IF(TITLE_DATE_PR="","",TITLE_DATE_PR),TITLE_DATE_PR_CHANGE)</f>
        <v/>
      </c>
      <c r="W32" s="740"/>
      <c r="X32" s="740"/>
      <c r="Y32" s="740"/>
      <c r="Z32" s="740"/>
      <c r="AA32" s="740"/>
      <c r="AB32" s="740"/>
      <c r="AC32" s="4"/>
      <c r="AD32" s="740" t="str">
        <f>IF(TITLE_DATE_PR_CHANGE="",IF(TITLE_DATE_PR="","",TITLE_DATE_PR),TITLE_DATE_PR_CHANGE)</f>
        <v/>
      </c>
      <c r="AE32" s="740"/>
      <c r="AF32" s="740"/>
      <c r="AG32" s="740"/>
      <c r="AH32" s="740"/>
      <c r="AI32" s="740"/>
      <c r="AJ32" s="740"/>
      <c r="AK32" s="740"/>
      <c r="AL32" s="740"/>
      <c r="AM32" s="740"/>
      <c r="AN32" s="740"/>
      <c r="AO32" s="740"/>
      <c r="AP32" s="740"/>
      <c r="AQ32" s="740"/>
      <c r="AR32" s="740"/>
      <c r="AS32" s="740"/>
      <c r="AT32" s="740"/>
      <c r="AU32" s="740"/>
      <c r="AV32" s="740"/>
      <c r="AW32" s="740"/>
      <c r="AX32" s="740"/>
      <c r="AY32" s="740"/>
      <c r="AZ32" s="740"/>
      <c r="BA32" s="4"/>
      <c r="BB32" s="4"/>
      <c r="BC32" s="96"/>
      <c r="BD32" s="46"/>
      <c r="BE32" s="46"/>
      <c r="BF32" s="46"/>
      <c r="BG32" s="46"/>
      <c r="BH32" s="46"/>
      <c r="BI32" s="22">
        <v>0</v>
      </c>
    </row>
    <row r="33" spans="1:61" s="22" customFormat="1" ht="18.75" hidden="1" customHeight="1">
      <c r="A33" s="43"/>
      <c r="B33" s="43"/>
      <c r="C33" s="43"/>
      <c r="D33" s="43"/>
      <c r="E33" s="43"/>
      <c r="F33" s="43"/>
      <c r="G33" s="43"/>
      <c r="H33" s="43"/>
      <c r="I33" s="43"/>
      <c r="J33" s="43"/>
      <c r="K33" s="43"/>
      <c r="L33" s="43"/>
      <c r="M33" s="43"/>
      <c r="N33" s="43"/>
      <c r="O33" s="43"/>
      <c r="P33" s="43"/>
      <c r="Q33" s="43"/>
      <c r="S33" s="721" t="s">
        <v>427</v>
      </c>
      <c r="T33" s="721"/>
      <c r="U33" s="453"/>
      <c r="V33" s="741" t="str">
        <f>IF(TITLE_NUMBER_PR_CHANGE="",IF(TITLE_NUMBER_PR="","",TITLE_NUMBER_PR),TITLE_NUMBER_PR_CHANGE)</f>
        <v/>
      </c>
      <c r="W33" s="741"/>
      <c r="X33" s="741"/>
      <c r="Y33" s="741"/>
      <c r="Z33" s="741"/>
      <c r="AA33" s="741"/>
      <c r="AB33" s="741"/>
      <c r="AC33" s="4"/>
      <c r="AD33" s="741" t="str">
        <f>IF(TITLE_NUMBER_PR_CHANGE="",IF(TITLE_NUMBER_PR="","",TITLE_NUMBER_PR),TITLE_NUMBER_PR_CHANGE)</f>
        <v/>
      </c>
      <c r="AE33" s="741"/>
      <c r="AF33" s="741"/>
      <c r="AG33" s="741"/>
      <c r="AH33" s="741"/>
      <c r="AI33" s="741"/>
      <c r="AJ33" s="741"/>
      <c r="AK33" s="741"/>
      <c r="AL33" s="741"/>
      <c r="AM33" s="741"/>
      <c r="AN33" s="741"/>
      <c r="AO33" s="741"/>
      <c r="AP33" s="741"/>
      <c r="AQ33" s="741"/>
      <c r="AR33" s="741"/>
      <c r="AS33" s="741"/>
      <c r="AT33" s="741"/>
      <c r="AU33" s="741"/>
      <c r="AV33" s="741"/>
      <c r="AW33" s="741"/>
      <c r="AX33" s="741"/>
      <c r="AY33" s="741"/>
      <c r="AZ33" s="741"/>
      <c r="BA33" s="4"/>
      <c r="BB33" s="4"/>
      <c r="BC33" s="96"/>
      <c r="BD33" s="46"/>
      <c r="BE33" s="46"/>
      <c r="BF33" s="46"/>
      <c r="BG33" s="46"/>
      <c r="BH33" s="46"/>
      <c r="BI33" s="22">
        <v>0</v>
      </c>
    </row>
    <row r="34" spans="1:61" s="22" customFormat="1" ht="18.75" hidden="1" customHeight="1">
      <c r="A34" s="43"/>
      <c r="B34" s="43"/>
      <c r="C34" s="43"/>
      <c r="D34" s="43"/>
      <c r="E34" s="43"/>
      <c r="F34" s="43"/>
      <c r="G34" s="43"/>
      <c r="H34" s="43"/>
      <c r="I34" s="43"/>
      <c r="J34" s="43"/>
      <c r="K34" s="43"/>
      <c r="L34" s="43"/>
      <c r="M34" s="43"/>
      <c r="N34" s="43"/>
      <c r="O34" s="43"/>
      <c r="P34" s="43"/>
      <c r="Q34" s="43"/>
      <c r="S34" s="721" t="s">
        <v>43</v>
      </c>
      <c r="T34" s="721"/>
      <c r="U34" s="453"/>
      <c r="V34" s="741" t="str">
        <f>IF(TITLE_IST_PUB_CHANGE="",IF(TITLE_IST_PUB="","",TITLE_IST_PUB),TITLE_IST_PUB_CHANGE)</f>
        <v/>
      </c>
      <c r="W34" s="741"/>
      <c r="X34" s="741"/>
      <c r="Y34" s="741"/>
      <c r="Z34" s="741"/>
      <c r="AA34" s="741"/>
      <c r="AB34" s="741"/>
      <c r="AC34" s="4"/>
      <c r="AD34" s="741" t="str">
        <f>IF(TITLE_IST_PUB_CHANGE="",IF(TITLE_IST_PUB="","",TITLE_IST_PUB),TITLE_IST_PUB_CHANGE)</f>
        <v/>
      </c>
      <c r="AE34" s="741"/>
      <c r="AF34" s="741"/>
      <c r="AG34" s="741"/>
      <c r="AH34" s="741"/>
      <c r="AI34" s="741"/>
      <c r="AJ34" s="741"/>
      <c r="AK34" s="741"/>
      <c r="AL34" s="741"/>
      <c r="AM34" s="741"/>
      <c r="AN34" s="741"/>
      <c r="AO34" s="741"/>
      <c r="AP34" s="741"/>
      <c r="AQ34" s="741"/>
      <c r="AR34" s="741"/>
      <c r="AS34" s="741"/>
      <c r="AT34" s="741"/>
      <c r="AU34" s="741"/>
      <c r="AV34" s="741"/>
      <c r="AW34" s="741"/>
      <c r="AX34" s="741"/>
      <c r="AY34" s="741"/>
      <c r="AZ34" s="741"/>
      <c r="BA34" s="4"/>
      <c r="BB34" s="4"/>
      <c r="BC34" s="96"/>
      <c r="BD34" s="46"/>
      <c r="BE34" s="46"/>
      <c r="BF34" s="46"/>
      <c r="BG34" s="46"/>
      <c r="BH34" s="46"/>
      <c r="BI34" s="22">
        <v>0</v>
      </c>
    </row>
    <row r="35" spans="1:61" ht="14.25" hidden="1" customHeight="1">
      <c r="Q35" s="97"/>
      <c r="R35" s="19"/>
      <c r="S35" s="6"/>
      <c r="T35" s="6"/>
      <c r="U35" s="6"/>
      <c r="V35" s="109"/>
      <c r="W35" s="109"/>
      <c r="X35" s="109"/>
      <c r="Y35" s="109"/>
      <c r="Z35" s="109"/>
      <c r="AA35" s="109"/>
      <c r="AB35" s="109"/>
      <c r="AC35" s="109"/>
      <c r="AD35" s="109"/>
      <c r="AE35" s="109"/>
      <c r="AF35" s="109"/>
      <c r="AG35" s="109"/>
      <c r="AH35" s="109"/>
      <c r="AI35" s="109"/>
      <c r="AJ35" s="109"/>
      <c r="AK35" s="109"/>
      <c r="AL35" s="109"/>
      <c r="AM35" s="109"/>
      <c r="AN35" s="109"/>
      <c r="AO35" s="109"/>
      <c r="AP35" s="109"/>
      <c r="AQ35" s="109"/>
      <c r="AR35" s="109"/>
      <c r="AS35" s="109"/>
      <c r="AT35" s="109"/>
      <c r="AU35" s="109"/>
      <c r="AV35" s="109"/>
      <c r="AW35" s="109"/>
      <c r="AX35" s="109"/>
      <c r="AY35" s="109"/>
      <c r="AZ35" s="109"/>
      <c r="BA35" s="109"/>
      <c r="BI35" s="4">
        <v>0</v>
      </c>
    </row>
    <row r="36" spans="1:61" s="22" customFormat="1" ht="18.75" hidden="1" customHeight="1">
      <c r="A36" s="43"/>
      <c r="B36" s="43"/>
      <c r="C36" s="43"/>
      <c r="D36" s="43"/>
      <c r="E36" s="43"/>
      <c r="F36" s="43"/>
      <c r="G36" s="43"/>
      <c r="H36" s="43"/>
      <c r="I36" s="43"/>
      <c r="J36" s="43"/>
      <c r="K36" s="43"/>
      <c r="L36" s="43"/>
      <c r="M36" s="43"/>
      <c r="N36" s="43"/>
      <c r="O36" s="43"/>
      <c r="P36" s="43"/>
      <c r="Q36" s="43"/>
      <c r="S36" s="721" t="s">
        <v>426</v>
      </c>
      <c r="T36" s="721"/>
      <c r="U36" s="453"/>
      <c r="V36" s="740" t="str">
        <f>IF(TITLE_DATE_PR_CHANGE="",IF(TITLE_DATE_PR="","",TITLE_DATE_PR),TITLE_DATE_PR_CHANGE)</f>
        <v/>
      </c>
      <c r="W36" s="740"/>
      <c r="X36" s="740"/>
      <c r="Y36" s="740"/>
      <c r="Z36" s="740"/>
      <c r="AA36" s="740"/>
      <c r="AB36" s="740"/>
      <c r="AC36" s="4"/>
      <c r="AD36" s="740" t="str">
        <f>IF(TITLE_DATE_PR_CHANGE="",IF(TITLE_DATE_PR="","",TITLE_DATE_PR),TITLE_DATE_PR_CHANGE)</f>
        <v/>
      </c>
      <c r="AE36" s="740"/>
      <c r="AF36" s="740"/>
      <c r="AG36" s="740"/>
      <c r="AH36" s="740"/>
      <c r="AI36" s="740"/>
      <c r="AJ36" s="740"/>
      <c r="AK36" s="740"/>
      <c r="AL36" s="740"/>
      <c r="AM36" s="740"/>
      <c r="AN36" s="740"/>
      <c r="AO36" s="740"/>
      <c r="AP36" s="740"/>
      <c r="AQ36" s="740"/>
      <c r="AR36" s="740"/>
      <c r="AS36" s="740"/>
      <c r="AT36" s="740"/>
      <c r="AU36" s="740"/>
      <c r="AV36" s="740"/>
      <c r="AW36" s="740"/>
      <c r="AX36" s="740"/>
      <c r="AY36" s="740"/>
      <c r="AZ36" s="740"/>
      <c r="BA36" s="4"/>
      <c r="BB36" s="4"/>
      <c r="BC36" s="96"/>
      <c r="BD36" s="46"/>
      <c r="BE36" s="46"/>
      <c r="BF36" s="46"/>
      <c r="BG36" s="46"/>
      <c r="BH36" s="46"/>
      <c r="BI36" s="22">
        <v>0</v>
      </c>
    </row>
    <row r="37" spans="1:61" s="22" customFormat="1" ht="18.75" hidden="1" customHeight="1">
      <c r="A37" s="43"/>
      <c r="B37" s="43"/>
      <c r="C37" s="43"/>
      <c r="D37" s="43"/>
      <c r="E37" s="43"/>
      <c r="F37" s="43"/>
      <c r="G37" s="43"/>
      <c r="H37" s="43"/>
      <c r="I37" s="43"/>
      <c r="J37" s="43"/>
      <c r="K37" s="43"/>
      <c r="L37" s="43"/>
      <c r="M37" s="43"/>
      <c r="N37" s="43"/>
      <c r="O37" s="43"/>
      <c r="P37" s="43"/>
      <c r="Q37" s="43"/>
      <c r="S37" s="721" t="s">
        <v>427</v>
      </c>
      <c r="T37" s="721"/>
      <c r="U37" s="453"/>
      <c r="V37" s="741" t="str">
        <f>IF(TITLE_NUMBER_PR_CHANGE="",IF(TITLE_NUMBER_PR="","",TITLE_NUMBER_PR),TITLE_NUMBER_PR_CHANGE)</f>
        <v/>
      </c>
      <c r="W37" s="741"/>
      <c r="X37" s="741"/>
      <c r="Y37" s="741"/>
      <c r="Z37" s="741"/>
      <c r="AA37" s="741"/>
      <c r="AB37" s="741"/>
      <c r="AC37" s="4"/>
      <c r="AD37" s="741" t="str">
        <f>IF(TITLE_NUMBER_PR_CHANGE="",IF(TITLE_NUMBER_PR="","",TITLE_NUMBER_PR),TITLE_NUMBER_PR_CHANGE)</f>
        <v/>
      </c>
      <c r="AE37" s="741"/>
      <c r="AF37" s="741"/>
      <c r="AG37" s="741"/>
      <c r="AH37" s="741"/>
      <c r="AI37" s="741"/>
      <c r="AJ37" s="741"/>
      <c r="AK37" s="741"/>
      <c r="AL37" s="741"/>
      <c r="AM37" s="741"/>
      <c r="AN37" s="741"/>
      <c r="AO37" s="741"/>
      <c r="AP37" s="741"/>
      <c r="AQ37" s="741"/>
      <c r="AR37" s="741"/>
      <c r="AS37" s="741"/>
      <c r="AT37" s="741"/>
      <c r="AU37" s="741"/>
      <c r="AV37" s="741"/>
      <c r="AW37" s="741"/>
      <c r="AX37" s="741"/>
      <c r="AY37" s="741"/>
      <c r="AZ37" s="741"/>
      <c r="BA37" s="4"/>
      <c r="BB37" s="4"/>
      <c r="BC37" s="96"/>
      <c r="BD37" s="46"/>
      <c r="BE37" s="46"/>
      <c r="BF37" s="46"/>
      <c r="BG37" s="46"/>
      <c r="BH37" s="46"/>
      <c r="BI37" s="22">
        <v>0</v>
      </c>
    </row>
    <row r="38" spans="1:61" s="22" customFormat="1" ht="0" hidden="1" customHeight="1">
      <c r="A38" s="43"/>
      <c r="B38" s="43"/>
      <c r="C38" s="43"/>
      <c r="D38" s="43"/>
      <c r="E38" s="43"/>
      <c r="F38" s="43"/>
      <c r="G38" s="43"/>
      <c r="H38" s="43"/>
      <c r="I38" s="43"/>
      <c r="J38" s="43"/>
      <c r="K38" s="43"/>
      <c r="L38" s="43"/>
      <c r="M38" s="43"/>
      <c r="N38" s="43"/>
      <c r="O38" s="43"/>
      <c r="P38" s="43"/>
      <c r="Q38" s="43"/>
      <c r="S38" s="4"/>
      <c r="T38" s="4"/>
      <c r="U38" s="4"/>
      <c r="V38" s="4"/>
      <c r="W38" s="4"/>
      <c r="X38" s="4"/>
      <c r="Y38" s="4"/>
      <c r="Z38" s="4"/>
      <c r="AA38" s="4"/>
      <c r="AB38" s="4"/>
      <c r="AC38" s="46" t="s">
        <v>430</v>
      </c>
      <c r="AD38" s="4"/>
      <c r="AE38" s="4"/>
      <c r="AF38" s="4"/>
      <c r="AG38" s="4"/>
      <c r="AH38" s="4"/>
      <c r="AI38" s="4"/>
      <c r="AJ38" s="4"/>
      <c r="AK38" s="4"/>
      <c r="AL38" s="4"/>
      <c r="AM38" s="4"/>
      <c r="AN38" s="4"/>
      <c r="AO38" s="4"/>
      <c r="AP38" s="4"/>
      <c r="AQ38" s="4"/>
      <c r="AR38" s="4"/>
      <c r="AS38" s="4"/>
      <c r="AT38" s="4"/>
      <c r="AU38" s="4"/>
      <c r="AV38" s="4"/>
      <c r="AW38" s="4"/>
      <c r="AX38" s="4"/>
      <c r="AY38" s="4"/>
      <c r="AZ38" s="4"/>
      <c r="BA38" s="46" t="s">
        <v>430</v>
      </c>
      <c r="BD38" s="46"/>
      <c r="BE38" s="46"/>
      <c r="BF38" s="46"/>
      <c r="BG38" s="46"/>
      <c r="BH38" s="46"/>
      <c r="BI38" s="22">
        <v>0</v>
      </c>
    </row>
    <row r="39" spans="1:61" ht="14.65" customHeight="1">
      <c r="Q39" s="97"/>
      <c r="R39" s="19"/>
      <c r="S39" s="6"/>
      <c r="T39" s="6"/>
      <c r="U39" s="420"/>
      <c r="V39" s="755"/>
      <c r="W39" s="755"/>
      <c r="X39" s="755"/>
      <c r="Y39" s="755"/>
      <c r="Z39" s="755"/>
      <c r="AA39" s="755"/>
      <c r="AB39" s="755"/>
      <c r="AC39" s="755"/>
      <c r="AD39" s="755"/>
      <c r="AE39" s="755"/>
      <c r="AF39" s="755"/>
      <c r="AG39" s="755"/>
      <c r="AH39" s="755"/>
      <c r="AI39" s="755"/>
      <c r="AJ39" s="755"/>
      <c r="AK39" s="755"/>
      <c r="AL39" s="755"/>
      <c r="AM39" s="755"/>
      <c r="AN39" s="755"/>
      <c r="AO39" s="755"/>
      <c r="AP39" s="755"/>
      <c r="AQ39" s="755"/>
      <c r="AR39" s="755"/>
      <c r="AS39" s="755"/>
      <c r="AT39" s="755"/>
      <c r="AU39" s="755"/>
      <c r="AV39" s="755"/>
      <c r="AW39" s="755"/>
      <c r="AX39" s="755"/>
      <c r="AY39" s="755"/>
      <c r="AZ39" s="755"/>
      <c r="BA39" s="755"/>
      <c r="BI39" s="4">
        <v>14</v>
      </c>
    </row>
    <row r="40" spans="1:61" ht="14.65" customHeight="1">
      <c r="Q40" s="97"/>
      <c r="R40" s="19"/>
      <c r="S40" s="679" t="s">
        <v>303</v>
      </c>
      <c r="T40" s="679"/>
      <c r="U40" s="679"/>
      <c r="V40" s="679"/>
      <c r="W40" s="679"/>
      <c r="X40" s="679"/>
      <c r="Y40" s="679"/>
      <c r="Z40" s="679"/>
      <c r="AA40" s="679"/>
      <c r="AB40" s="679"/>
      <c r="AC40" s="679"/>
      <c r="AD40" s="679"/>
      <c r="AE40" s="679"/>
      <c r="AF40" s="679"/>
      <c r="AG40" s="679"/>
      <c r="AH40" s="679"/>
      <c r="AI40" s="679"/>
      <c r="AJ40" s="679"/>
      <c r="AK40" s="679"/>
      <c r="AL40" s="679"/>
      <c r="AM40" s="679"/>
      <c r="AN40" s="679"/>
      <c r="AO40" s="679"/>
      <c r="AP40" s="679"/>
      <c r="AQ40" s="679"/>
      <c r="AR40" s="679"/>
      <c r="AS40" s="679"/>
      <c r="AT40" s="679"/>
      <c r="AU40" s="679"/>
      <c r="AV40" s="679"/>
      <c r="AW40" s="679"/>
      <c r="AX40" s="679"/>
      <c r="AY40" s="679"/>
      <c r="AZ40" s="679"/>
      <c r="BA40" s="679"/>
      <c r="BB40" s="679"/>
      <c r="BC40" s="679" t="s">
        <v>304</v>
      </c>
      <c r="BI40" s="4">
        <v>14</v>
      </c>
    </row>
    <row r="41" spans="1:61" ht="14.65" customHeight="1">
      <c r="Q41" s="97"/>
      <c r="R41" s="19"/>
      <c r="S41" s="722" t="s">
        <v>88</v>
      </c>
      <c r="T41" s="722" t="s">
        <v>510</v>
      </c>
      <c r="U41" s="100"/>
      <c r="V41" s="756" t="s">
        <v>432</v>
      </c>
      <c r="W41" s="757"/>
      <c r="X41" s="757"/>
      <c r="Y41" s="757"/>
      <c r="Z41" s="757"/>
      <c r="AA41" s="757"/>
      <c r="AB41" s="758"/>
      <c r="AC41" s="724" t="s">
        <v>433</v>
      </c>
      <c r="AD41" s="777" t="s">
        <v>527</v>
      </c>
      <c r="AE41" s="767"/>
      <c r="AF41" s="767"/>
      <c r="AG41" s="778"/>
      <c r="AH41" s="777" t="s">
        <v>528</v>
      </c>
      <c r="AI41" s="767"/>
      <c r="AJ41" s="767"/>
      <c r="AK41" s="778"/>
      <c r="AL41" s="777" t="s">
        <v>529</v>
      </c>
      <c r="AM41" s="767"/>
      <c r="AN41" s="767"/>
      <c r="AO41" s="778"/>
      <c r="AP41" s="777" t="s">
        <v>514</v>
      </c>
      <c r="AQ41" s="767"/>
      <c r="AR41" s="767"/>
      <c r="AS41" s="778"/>
      <c r="AT41" s="756" t="s">
        <v>432</v>
      </c>
      <c r="AU41" s="757"/>
      <c r="AV41" s="757"/>
      <c r="AW41" s="757"/>
      <c r="AX41" s="757"/>
      <c r="AY41" s="757"/>
      <c r="AZ41" s="758"/>
      <c r="BA41" s="724" t="s">
        <v>433</v>
      </c>
      <c r="BB41" s="759" t="s">
        <v>435</v>
      </c>
      <c r="BC41" s="679"/>
      <c r="BI41" s="4">
        <v>14</v>
      </c>
    </row>
    <row r="42" spans="1:61" ht="35.65" customHeight="1">
      <c r="Q42" s="97"/>
      <c r="R42" s="19"/>
      <c r="S42" s="722"/>
      <c r="T42" s="722"/>
      <c r="U42" s="349"/>
      <c r="V42" s="674" t="s">
        <v>515</v>
      </c>
      <c r="W42" s="672"/>
      <c r="X42" s="674" t="s">
        <v>516</v>
      </c>
      <c r="Y42" s="672"/>
      <c r="Z42" s="674" t="s">
        <v>517</v>
      </c>
      <c r="AA42" s="697"/>
      <c r="AB42" s="672"/>
      <c r="AC42" s="725"/>
      <c r="AD42" s="779"/>
      <c r="AE42" s="780"/>
      <c r="AF42" s="780"/>
      <c r="AG42" s="789"/>
      <c r="AH42" s="779"/>
      <c r="AI42" s="780"/>
      <c r="AJ42" s="780"/>
      <c r="AK42" s="789"/>
      <c r="AL42" s="779"/>
      <c r="AM42" s="780"/>
      <c r="AN42" s="780"/>
      <c r="AO42" s="789"/>
      <c r="AP42" s="779"/>
      <c r="AQ42" s="780"/>
      <c r="AR42" s="780"/>
      <c r="AS42" s="789"/>
      <c r="AT42" s="674" t="s">
        <v>530</v>
      </c>
      <c r="AU42" s="672"/>
      <c r="AV42" s="674" t="s">
        <v>531</v>
      </c>
      <c r="AW42" s="672"/>
      <c r="AX42" s="674" t="s">
        <v>517</v>
      </c>
      <c r="AY42" s="697"/>
      <c r="AZ42" s="672"/>
      <c r="BA42" s="725"/>
      <c r="BB42" s="760"/>
      <c r="BC42" s="679"/>
      <c r="BI42" s="4">
        <v>34</v>
      </c>
    </row>
    <row r="43" spans="1:61" ht="14.65" customHeight="1">
      <c r="Q43" s="97"/>
      <c r="R43" s="19"/>
      <c r="S43" s="722"/>
      <c r="T43" s="722"/>
      <c r="U43" s="349"/>
      <c r="V43" s="677"/>
      <c r="W43" s="675"/>
      <c r="X43" s="677"/>
      <c r="Y43" s="675"/>
      <c r="Z43" s="677"/>
      <c r="AA43" s="712"/>
      <c r="AB43" s="675"/>
      <c r="AC43" s="725"/>
      <c r="AD43" s="779"/>
      <c r="AE43" s="780"/>
      <c r="AF43" s="780"/>
      <c r="AG43" s="789"/>
      <c r="AH43" s="779"/>
      <c r="AI43" s="780"/>
      <c r="AJ43" s="780"/>
      <c r="AK43" s="789"/>
      <c r="AL43" s="779"/>
      <c r="AM43" s="780"/>
      <c r="AN43" s="780"/>
      <c r="AO43" s="789"/>
      <c r="AP43" s="779"/>
      <c r="AQ43" s="780"/>
      <c r="AR43" s="780"/>
      <c r="AS43" s="789"/>
      <c r="AT43" s="677"/>
      <c r="AU43" s="675"/>
      <c r="AV43" s="677"/>
      <c r="AW43" s="675"/>
      <c r="AX43" s="677"/>
      <c r="AY43" s="712"/>
      <c r="AZ43" s="675"/>
      <c r="BA43" s="725"/>
      <c r="BB43" s="760"/>
      <c r="BC43" s="679"/>
      <c r="BI43" s="4">
        <v>14</v>
      </c>
    </row>
    <row r="44" spans="1:61" ht="14.65" customHeight="1">
      <c r="B44" s="43" t="s">
        <v>140</v>
      </c>
      <c r="C44" s="43" t="s">
        <v>141</v>
      </c>
      <c r="D44" s="43" t="s">
        <v>142</v>
      </c>
      <c r="E44" s="43" t="s">
        <v>440</v>
      </c>
      <c r="F44" s="43" t="s">
        <v>441</v>
      </c>
      <c r="G44" s="43" t="s">
        <v>442</v>
      </c>
      <c r="H44" s="43" t="s">
        <v>443</v>
      </c>
      <c r="I44" s="43" t="s">
        <v>444</v>
      </c>
      <c r="J44" s="43" t="s">
        <v>445</v>
      </c>
      <c r="K44" s="43" t="s">
        <v>446</v>
      </c>
      <c r="L44" s="43" t="s">
        <v>421</v>
      </c>
      <c r="Q44" s="97"/>
      <c r="R44" s="19"/>
      <c r="S44" s="722"/>
      <c r="T44" s="722"/>
      <c r="U44" s="101"/>
      <c r="V44" s="24" t="s">
        <v>481</v>
      </c>
      <c r="W44" s="24" t="s">
        <v>482</v>
      </c>
      <c r="X44" s="24" t="s">
        <v>481</v>
      </c>
      <c r="Y44" s="24" t="s">
        <v>482</v>
      </c>
      <c r="Z44" s="27" t="s">
        <v>449</v>
      </c>
      <c r="AA44" s="728" t="s">
        <v>450</v>
      </c>
      <c r="AB44" s="734"/>
      <c r="AC44" s="726"/>
      <c r="AD44" s="781"/>
      <c r="AE44" s="782"/>
      <c r="AF44" s="782"/>
      <c r="AG44" s="783"/>
      <c r="AH44" s="781"/>
      <c r="AI44" s="782"/>
      <c r="AJ44" s="782"/>
      <c r="AK44" s="783"/>
      <c r="AL44" s="781"/>
      <c r="AM44" s="782"/>
      <c r="AN44" s="782"/>
      <c r="AO44" s="783"/>
      <c r="AP44" s="781"/>
      <c r="AQ44" s="782"/>
      <c r="AR44" s="782"/>
      <c r="AS44" s="783"/>
      <c r="AT44" s="24" t="s">
        <v>481</v>
      </c>
      <c r="AU44" s="24" t="s">
        <v>482</v>
      </c>
      <c r="AV44" s="24" t="s">
        <v>481</v>
      </c>
      <c r="AW44" s="24" t="s">
        <v>482</v>
      </c>
      <c r="AX44" s="27" t="s">
        <v>449</v>
      </c>
      <c r="AY44" s="728" t="s">
        <v>450</v>
      </c>
      <c r="AZ44" s="734"/>
      <c r="BA44" s="726"/>
      <c r="BB44" s="761"/>
      <c r="BC44" s="679"/>
      <c r="BI44" s="4">
        <v>14</v>
      </c>
    </row>
    <row r="45" spans="1:61" s="117" customFormat="1" ht="11.25" hidden="1" customHeight="1">
      <c r="A45" s="43"/>
      <c r="B45" s="43"/>
      <c r="C45" s="43"/>
      <c r="D45" s="43"/>
      <c r="E45" s="43"/>
      <c r="F45" s="43"/>
      <c r="G45" s="43"/>
      <c r="H45" s="43"/>
      <c r="I45" s="43"/>
      <c r="J45" s="43"/>
      <c r="K45" s="43"/>
      <c r="L45" s="43"/>
      <c r="M45" s="167"/>
      <c r="N45" s="167"/>
      <c r="O45" s="167"/>
      <c r="P45" s="160"/>
      <c r="Q45" s="424"/>
      <c r="R45" s="424">
        <v>1</v>
      </c>
      <c r="S45" s="425" t="s">
        <v>110</v>
      </c>
      <c r="T45" s="425" t="s">
        <v>111</v>
      </c>
      <c r="U45" s="421" t="str">
        <f ca="1">OFFSET(U45,0,-1)</f>
        <v>2</v>
      </c>
      <c r="V45" s="426">
        <f t="shared" ref="V45:AA45" ca="1" si="2">OFFSET(V45,0,-1)+1</f>
        <v>3</v>
      </c>
      <c r="W45" s="426">
        <f t="shared" ca="1" si="2"/>
        <v>4</v>
      </c>
      <c r="X45" s="426">
        <f t="shared" ca="1" si="2"/>
        <v>5</v>
      </c>
      <c r="Y45" s="426">
        <f t="shared" ca="1" si="2"/>
        <v>6</v>
      </c>
      <c r="Z45" s="426">
        <f t="shared" ca="1" si="2"/>
        <v>7</v>
      </c>
      <c r="AA45" s="754">
        <f t="shared" ca="1" si="2"/>
        <v>8</v>
      </c>
      <c r="AB45" s="754"/>
      <c r="AC45" s="426">
        <f ca="1">OFFSET(AC45,0,-2)+1</f>
        <v>9</v>
      </c>
      <c r="AD45" s="426">
        <f ca="1">OFFSET(AD45,0,-1)+1</f>
        <v>10</v>
      </c>
      <c r="AE45" s="426"/>
      <c r="AF45" s="426"/>
      <c r="AG45" s="426"/>
      <c r="AH45" s="426"/>
      <c r="AI45" s="426"/>
      <c r="AJ45" s="426"/>
      <c r="AK45" s="426"/>
      <c r="AL45" s="426"/>
      <c r="AM45" s="426"/>
      <c r="AN45" s="426"/>
      <c r="AO45" s="426"/>
      <c r="AP45" s="426"/>
      <c r="AQ45" s="426"/>
      <c r="AR45" s="426"/>
      <c r="AS45" s="426"/>
      <c r="AT45" s="426"/>
      <c r="AU45" s="426"/>
      <c r="AV45" s="426"/>
      <c r="AW45" s="426">
        <f ca="1">OFFSET(AW45,0,-1)+1</f>
        <v>1</v>
      </c>
      <c r="AX45" s="426">
        <f ca="1">OFFSET(AX45,0,-1)+1</f>
        <v>2</v>
      </c>
      <c r="AY45" s="754">
        <f ca="1">OFFSET(AY45,0,-1)+1</f>
        <v>3</v>
      </c>
      <c r="AZ45" s="754"/>
      <c r="BA45" s="426">
        <f ca="1">OFFSET(BA45,0,-2)+1</f>
        <v>4</v>
      </c>
      <c r="BB45" s="421">
        <f ca="1">OFFSET(BB45,0,-1)</f>
        <v>4</v>
      </c>
      <c r="BC45" s="426">
        <f ca="1">OFFSET(BC45,0,-1)+1</f>
        <v>5</v>
      </c>
      <c r="BD45" s="46"/>
      <c r="BE45" s="46"/>
      <c r="BF45" s="46"/>
      <c r="BG45" s="46"/>
      <c r="BH45" s="46"/>
      <c r="BI45" s="117">
        <v>0</v>
      </c>
    </row>
    <row r="46" spans="1:61" ht="21.95" customHeight="1">
      <c r="A46" s="43" t="s">
        <v>279</v>
      </c>
      <c r="E46" s="745">
        <v>1</v>
      </c>
      <c r="M46" s="43"/>
      <c r="N46" s="43"/>
      <c r="O46" s="43"/>
      <c r="Q46" s="43"/>
      <c r="R46" s="119"/>
      <c r="S46" s="24">
        <f>INDEX(PT_DIFFERENTIATION_NUM_NTAR,MATCH(A46,PT_DIFFERENTIATION_NTAR_ID,0))</f>
        <v>0</v>
      </c>
      <c r="T46" s="29" t="s">
        <v>128</v>
      </c>
      <c r="U46" s="29"/>
      <c r="V46" s="743"/>
      <c r="W46" s="743"/>
      <c r="X46" s="743"/>
      <c r="Y46" s="743"/>
      <c r="Z46" s="743"/>
      <c r="AA46" s="743"/>
      <c r="AB46" s="743"/>
      <c r="AC46" s="744"/>
      <c r="AD46" s="742" t="str">
        <f>INDEX(PT_DIFFERENTIATION_NTAR,MATCH(A46,PT_DIFFERENTIATION_NTAR_ID,0))</f>
        <v/>
      </c>
      <c r="AE46" s="743"/>
      <c r="AF46" s="743"/>
      <c r="AG46" s="743"/>
      <c r="AH46" s="743"/>
      <c r="AI46" s="743"/>
      <c r="AJ46" s="743"/>
      <c r="AK46" s="743"/>
      <c r="AL46" s="743"/>
      <c r="AM46" s="743"/>
      <c r="AN46" s="743"/>
      <c r="AO46" s="743"/>
      <c r="AP46" s="743"/>
      <c r="AQ46" s="743"/>
      <c r="AR46" s="743"/>
      <c r="AS46" s="743"/>
      <c r="AT46" s="743"/>
      <c r="AU46" s="743"/>
      <c r="AV46" s="743"/>
      <c r="AW46" s="743"/>
      <c r="AX46" s="743"/>
      <c r="AY46" s="743"/>
      <c r="AZ46" s="743"/>
      <c r="BA46" s="743"/>
      <c r="BB46" s="744"/>
      <c r="BC46" s="4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F46" s="46" t="str">
        <f t="shared" ref="BF46:BF52" si="3">IF(T46="","",T46)</f>
        <v>Наименование тарифа</v>
      </c>
      <c r="BI46" s="4">
        <v>21</v>
      </c>
    </row>
    <row r="47" spans="1:61" ht="21.95" customHeight="1">
      <c r="A47" s="43" t="s">
        <v>279</v>
      </c>
      <c r="B47" s="43" t="s">
        <v>280</v>
      </c>
      <c r="E47" s="747"/>
      <c r="F47" s="745">
        <v>1</v>
      </c>
      <c r="M47" s="43"/>
      <c r="N47" s="43"/>
      <c r="O47" s="43"/>
      <c r="P47" s="43"/>
      <c r="Q47" s="468"/>
      <c r="R47" s="119"/>
      <c r="S47" s="24" t="str">
        <f>INDEX(PT_DIFFERENTIATION_NUM_TER,MATCH(B47,PT_DIFFERENTIATION_TER_ID,0))</f>
        <v>.</v>
      </c>
      <c r="T47" s="24" t="s">
        <v>400</v>
      </c>
      <c r="U47" s="29"/>
      <c r="V47" s="743"/>
      <c r="W47" s="743"/>
      <c r="X47" s="743"/>
      <c r="Y47" s="743"/>
      <c r="Z47" s="743"/>
      <c r="AA47" s="743"/>
      <c r="AB47" s="743"/>
      <c r="AC47" s="744"/>
      <c r="AD47" s="742" t="str">
        <f>INDEX(PT_DIFFERENTIATION_TER,MATCH(B47,PT_DIFFERENTIATION_TER_ID,0))</f>
        <v/>
      </c>
      <c r="AE47" s="743"/>
      <c r="AF47" s="743"/>
      <c r="AG47" s="743"/>
      <c r="AH47" s="743"/>
      <c r="AI47" s="743"/>
      <c r="AJ47" s="743"/>
      <c r="AK47" s="743"/>
      <c r="AL47" s="743"/>
      <c r="AM47" s="743"/>
      <c r="AN47" s="743"/>
      <c r="AO47" s="743"/>
      <c r="AP47" s="743"/>
      <c r="AQ47" s="743"/>
      <c r="AR47" s="743"/>
      <c r="AS47" s="743"/>
      <c r="AT47" s="743"/>
      <c r="AU47" s="743"/>
      <c r="AV47" s="743"/>
      <c r="AW47" s="743"/>
      <c r="AX47" s="743"/>
      <c r="AY47" s="743"/>
      <c r="AZ47" s="743"/>
      <c r="BA47" s="743"/>
      <c r="BB47" s="744"/>
      <c r="BC47" s="428" t="s">
        <v>401</v>
      </c>
      <c r="BF47" s="46" t="str">
        <f t="shared" si="3"/>
        <v>Территория действия тарифа</v>
      </c>
      <c r="BI47" s="4">
        <v>21</v>
      </c>
    </row>
    <row r="48" spans="1:61" ht="35.65" customHeight="1">
      <c r="A48" s="43" t="s">
        <v>279</v>
      </c>
      <c r="B48" s="43" t="s">
        <v>280</v>
      </c>
      <c r="C48" s="43" t="s">
        <v>281</v>
      </c>
      <c r="E48" s="747"/>
      <c r="F48" s="747"/>
      <c r="G48" s="745">
        <v>1</v>
      </c>
      <c r="M48" s="43"/>
      <c r="N48" s="43"/>
      <c r="O48" s="43"/>
      <c r="P48" s="79"/>
      <c r="Q48" s="468"/>
      <c r="R48" s="119"/>
      <c r="S48" s="24" t="str">
        <f>INDEX(PT_DIFFERENTIATION_NUM_CS,MATCH(C48,PT_DIFFERENTIATION_CS_ID,0))</f>
        <v>..</v>
      </c>
      <c r="T48" s="24" t="s">
        <v>519</v>
      </c>
      <c r="U48" s="29"/>
      <c r="V48" s="743"/>
      <c r="W48" s="743"/>
      <c r="X48" s="743"/>
      <c r="Y48" s="743"/>
      <c r="Z48" s="743"/>
      <c r="AA48" s="743"/>
      <c r="AB48" s="743"/>
      <c r="AC48" s="744"/>
      <c r="AD48" s="742" t="str">
        <f>INDEX(PT_DIFFERENTIATION_CS,MATCH(C48,PT_DIFFERENTIATION_CS_ID,0))</f>
        <v/>
      </c>
      <c r="AE48" s="743"/>
      <c r="AF48" s="743"/>
      <c r="AG48" s="743"/>
      <c r="AH48" s="743"/>
      <c r="AI48" s="743"/>
      <c r="AJ48" s="743"/>
      <c r="AK48" s="743"/>
      <c r="AL48" s="743"/>
      <c r="AM48" s="743"/>
      <c r="AN48" s="743"/>
      <c r="AO48" s="743"/>
      <c r="AP48" s="743"/>
      <c r="AQ48" s="743"/>
      <c r="AR48" s="743"/>
      <c r="AS48" s="743"/>
      <c r="AT48" s="743"/>
      <c r="AU48" s="743"/>
      <c r="AV48" s="743"/>
      <c r="AW48" s="743"/>
      <c r="AX48" s="743"/>
      <c r="AY48" s="743"/>
      <c r="AZ48" s="743"/>
      <c r="BA48" s="743"/>
      <c r="BB48" s="744"/>
      <c r="BC48" s="428" t="s">
        <v>520</v>
      </c>
      <c r="BF48" s="46" t="str">
        <f t="shared" si="3"/>
        <v>Наименование централизованной системы водоотведения</v>
      </c>
      <c r="BI48" s="4">
        <v>34</v>
      </c>
    </row>
    <row r="49" spans="1:61" s="46" customFormat="1" ht="0" hidden="1" customHeight="1">
      <c r="A49" s="46" t="s">
        <v>279</v>
      </c>
      <c r="B49" s="46" t="s">
        <v>280</v>
      </c>
      <c r="C49" s="46" t="s">
        <v>281</v>
      </c>
      <c r="D49" s="46" t="s">
        <v>532</v>
      </c>
      <c r="E49" s="747"/>
      <c r="F49" s="747"/>
      <c r="G49" s="747"/>
      <c r="H49" s="745">
        <v>1</v>
      </c>
      <c r="P49" s="478"/>
      <c r="Q49" s="479"/>
      <c r="R49" s="120"/>
      <c r="S49" s="174"/>
      <c r="T49" s="294"/>
      <c r="U49" s="174"/>
      <c r="V49" s="769"/>
      <c r="W49" s="769"/>
      <c r="X49" s="769"/>
      <c r="Y49" s="769"/>
      <c r="Z49" s="769"/>
      <c r="AA49" s="769"/>
      <c r="AB49" s="769"/>
      <c r="AC49" s="770"/>
      <c r="AD49" s="768"/>
      <c r="AE49" s="769"/>
      <c r="AF49" s="769"/>
      <c r="AG49" s="769"/>
      <c r="AH49" s="769"/>
      <c r="AI49" s="769"/>
      <c r="AJ49" s="769"/>
      <c r="AK49" s="769"/>
      <c r="AL49" s="769"/>
      <c r="AM49" s="769"/>
      <c r="AN49" s="769"/>
      <c r="AO49" s="769"/>
      <c r="AP49" s="769"/>
      <c r="AQ49" s="769"/>
      <c r="AR49" s="769"/>
      <c r="AS49" s="769"/>
      <c r="AT49" s="769"/>
      <c r="AU49" s="769"/>
      <c r="AV49" s="769"/>
      <c r="AW49" s="769"/>
      <c r="AX49" s="769"/>
      <c r="AY49" s="769"/>
      <c r="AZ49" s="769"/>
      <c r="BA49" s="769"/>
      <c r="BB49" s="770"/>
      <c r="BC49" s="174" t="s">
        <v>405</v>
      </c>
      <c r="BF49" s="46" t="str">
        <f t="shared" si="3"/>
        <v/>
      </c>
      <c r="BI49" s="46">
        <v>0</v>
      </c>
    </row>
    <row r="50" spans="1:61" s="46" customFormat="1" ht="0" hidden="1" customHeight="1">
      <c r="A50" s="46" t="s">
        <v>279</v>
      </c>
      <c r="B50" s="46" t="s">
        <v>280</v>
      </c>
      <c r="C50" s="46" t="s">
        <v>281</v>
      </c>
      <c r="D50" s="46" t="s">
        <v>532</v>
      </c>
      <c r="E50" s="747"/>
      <c r="F50" s="747"/>
      <c r="G50" s="747"/>
      <c r="H50" s="747"/>
      <c r="I50" s="745" t="str">
        <f>S49&amp;".1"</f>
        <v>.1</v>
      </c>
      <c r="L50" s="46" t="s">
        <v>406</v>
      </c>
      <c r="M50" s="160"/>
      <c r="N50" s="160"/>
      <c r="O50" s="160"/>
      <c r="P50" s="748">
        <v>1</v>
      </c>
      <c r="R50" s="120"/>
      <c r="S50" s="174"/>
      <c r="T50" s="174"/>
      <c r="U50" s="174"/>
      <c r="V50" s="769"/>
      <c r="W50" s="769"/>
      <c r="X50" s="769"/>
      <c r="Y50" s="769"/>
      <c r="Z50" s="769"/>
      <c r="AA50" s="769"/>
      <c r="AB50" s="769"/>
      <c r="AC50" s="770"/>
      <c r="AD50" s="768"/>
      <c r="AE50" s="769"/>
      <c r="AF50" s="769"/>
      <c r="AG50" s="769"/>
      <c r="AH50" s="769"/>
      <c r="AI50" s="769"/>
      <c r="AJ50" s="769"/>
      <c r="AK50" s="769"/>
      <c r="AL50" s="769"/>
      <c r="AM50" s="769"/>
      <c r="AN50" s="769"/>
      <c r="AO50" s="769"/>
      <c r="AP50" s="769"/>
      <c r="AQ50" s="769"/>
      <c r="AR50" s="769"/>
      <c r="AS50" s="769"/>
      <c r="AT50" s="769"/>
      <c r="AU50" s="769"/>
      <c r="AV50" s="769"/>
      <c r="AW50" s="769"/>
      <c r="AX50" s="769"/>
      <c r="AY50" s="769"/>
      <c r="AZ50" s="769"/>
      <c r="BA50" s="769"/>
      <c r="BB50" s="770"/>
      <c r="BC50" s="174"/>
      <c r="BF50" s="46" t="str">
        <f t="shared" si="3"/>
        <v/>
      </c>
      <c r="BI50" s="46">
        <v>0</v>
      </c>
    </row>
    <row r="51" spans="1:61" s="46" customFormat="1" ht="0" hidden="1" customHeight="1">
      <c r="A51" s="46" t="s">
        <v>279</v>
      </c>
      <c r="B51" s="46" t="s">
        <v>280</v>
      </c>
      <c r="C51" s="46" t="s">
        <v>281</v>
      </c>
      <c r="D51" s="46" t="s">
        <v>532</v>
      </c>
      <c r="E51" s="747"/>
      <c r="F51" s="747"/>
      <c r="G51" s="747"/>
      <c r="H51" s="747"/>
      <c r="I51" s="747"/>
      <c r="J51" s="745" t="str">
        <f>S49&amp;".1"</f>
        <v>.1</v>
      </c>
      <c r="M51" s="160"/>
      <c r="N51" s="160"/>
      <c r="O51" s="160"/>
      <c r="P51" s="748"/>
      <c r="Q51" s="748">
        <v>1</v>
      </c>
      <c r="R51" s="120"/>
      <c r="S51" s="174"/>
      <c r="T51" s="174"/>
      <c r="U51" s="174"/>
      <c r="V51" s="769"/>
      <c r="W51" s="769"/>
      <c r="X51" s="769"/>
      <c r="Y51" s="769"/>
      <c r="Z51" s="769"/>
      <c r="AA51" s="769"/>
      <c r="AB51" s="769"/>
      <c r="AC51" s="770"/>
      <c r="AD51" s="768"/>
      <c r="AE51" s="769"/>
      <c r="AF51" s="769"/>
      <c r="AG51" s="769"/>
      <c r="AH51" s="769"/>
      <c r="AI51" s="769"/>
      <c r="AJ51" s="769"/>
      <c r="AK51" s="769"/>
      <c r="AL51" s="769"/>
      <c r="AM51" s="769"/>
      <c r="AN51" s="803"/>
      <c r="AO51" s="803"/>
      <c r="AP51" s="769"/>
      <c r="AQ51" s="769"/>
      <c r="AR51" s="769"/>
      <c r="AS51" s="769"/>
      <c r="AT51" s="769"/>
      <c r="AU51" s="769"/>
      <c r="AV51" s="769"/>
      <c r="AW51" s="769"/>
      <c r="AX51" s="769"/>
      <c r="AY51" s="769"/>
      <c r="AZ51" s="769"/>
      <c r="BA51" s="769"/>
      <c r="BB51" s="770"/>
      <c r="BC51" s="174"/>
      <c r="BF51" s="46" t="str">
        <f t="shared" si="3"/>
        <v/>
      </c>
      <c r="BI51" s="46">
        <v>0</v>
      </c>
    </row>
    <row r="52" spans="1:61" ht="11.45" customHeight="1">
      <c r="A52" s="43" t="s">
        <v>279</v>
      </c>
      <c r="B52" s="43" t="s">
        <v>280</v>
      </c>
      <c r="C52" s="43" t="s">
        <v>281</v>
      </c>
      <c r="D52" s="43" t="s">
        <v>532</v>
      </c>
      <c r="E52" s="747"/>
      <c r="F52" s="747"/>
      <c r="G52" s="747"/>
      <c r="H52" s="747"/>
      <c r="I52" s="747"/>
      <c r="J52" s="747"/>
      <c r="K52" s="745" t="str">
        <f>S48&amp;".1"</f>
        <v>...1</v>
      </c>
      <c r="P52" s="748"/>
      <c r="Q52" s="748"/>
      <c r="R52" s="120">
        <v>1</v>
      </c>
      <c r="S52" s="724" t="str">
        <f>$K52</f>
        <v>...1</v>
      </c>
      <c r="T52" s="799"/>
      <c r="U52" s="29"/>
      <c r="V52" s="168"/>
      <c r="W52" s="427"/>
      <c r="X52" s="168"/>
      <c r="Y52" s="427"/>
      <c r="Z52" s="544"/>
      <c r="AA52" s="69" t="s">
        <v>66</v>
      </c>
      <c r="AB52" s="544"/>
      <c r="AC52" s="69" t="s">
        <v>66</v>
      </c>
      <c r="AD52" s="686" t="s">
        <v>66</v>
      </c>
      <c r="AE52" s="784"/>
      <c r="AF52" s="722">
        <v>1</v>
      </c>
      <c r="AG52" s="798"/>
      <c r="AH52" s="688" t="s">
        <v>66</v>
      </c>
      <c r="AI52" s="784"/>
      <c r="AJ52" s="722">
        <v>1</v>
      </c>
      <c r="AK52" s="688" t="s">
        <v>22</v>
      </c>
      <c r="AL52" s="688" t="s">
        <v>66</v>
      </c>
      <c r="AM52" s="674"/>
      <c r="AN52" s="722">
        <v>1</v>
      </c>
      <c r="AO52" s="798"/>
      <c r="AP52" s="776" t="s">
        <v>66</v>
      </c>
      <c r="AQ52" s="29"/>
      <c r="AR52" s="148">
        <v>1</v>
      </c>
      <c r="AS52" s="74" t="s">
        <v>22</v>
      </c>
      <c r="AT52" s="168"/>
      <c r="AU52" s="427"/>
      <c r="AV52" s="168"/>
      <c r="AW52" s="427"/>
      <c r="AX52" s="544"/>
      <c r="AY52" s="69" t="s">
        <v>66</v>
      </c>
      <c r="AZ52" s="544"/>
      <c r="BA52" s="69" t="s">
        <v>66</v>
      </c>
      <c r="BB52" s="345"/>
      <c r="BC52" s="762" t="s">
        <v>504</v>
      </c>
      <c r="BF52" s="46" t="str">
        <f t="shared" si="3"/>
        <v/>
      </c>
      <c r="BI52" s="4">
        <v>11</v>
      </c>
    </row>
    <row r="53" spans="1:61" ht="11.45" customHeight="1">
      <c r="E53" s="747"/>
      <c r="F53" s="747"/>
      <c r="G53" s="747"/>
      <c r="H53" s="747"/>
      <c r="I53" s="747"/>
      <c r="J53" s="747"/>
      <c r="K53" s="745"/>
      <c r="P53" s="748"/>
      <c r="Q53" s="748"/>
      <c r="R53" s="120"/>
      <c r="S53" s="725"/>
      <c r="T53" s="800"/>
      <c r="U53" s="29"/>
      <c r="V53" s="457"/>
      <c r="W53" s="477"/>
      <c r="X53" s="457"/>
      <c r="Y53" s="477"/>
      <c r="Z53" s="457"/>
      <c r="AA53" s="457"/>
      <c r="AB53" s="457"/>
      <c r="AC53" s="457"/>
      <c r="AD53" s="689"/>
      <c r="AE53" s="784"/>
      <c r="AF53" s="722"/>
      <c r="AG53" s="798"/>
      <c r="AH53" s="688"/>
      <c r="AI53" s="784"/>
      <c r="AJ53" s="722"/>
      <c r="AK53" s="688"/>
      <c r="AL53" s="688"/>
      <c r="AM53" s="677"/>
      <c r="AN53" s="722"/>
      <c r="AO53" s="798"/>
      <c r="AP53" s="802"/>
      <c r="AQ53" s="98"/>
      <c r="AR53" s="37"/>
      <c r="AS53" s="37" t="s">
        <v>505</v>
      </c>
      <c r="AT53" s="457"/>
      <c r="AU53" s="477"/>
      <c r="AV53" s="457"/>
      <c r="AW53" s="477"/>
      <c r="AX53" s="457"/>
      <c r="AY53" s="457"/>
      <c r="AZ53" s="457"/>
      <c r="BA53" s="457"/>
      <c r="BB53" s="461"/>
      <c r="BC53" s="763"/>
      <c r="BI53" s="4">
        <v>11</v>
      </c>
    </row>
    <row r="54" spans="1:61" ht="11.45" customHeight="1">
      <c r="A54" s="43" t="s">
        <v>279</v>
      </c>
      <c r="E54" s="747"/>
      <c r="F54" s="747"/>
      <c r="G54" s="747"/>
      <c r="H54" s="747"/>
      <c r="I54" s="747"/>
      <c r="J54" s="747"/>
      <c r="K54" s="745"/>
      <c r="P54" s="748"/>
      <c r="Q54" s="748"/>
      <c r="R54" s="120"/>
      <c r="S54" s="725"/>
      <c r="T54" s="800"/>
      <c r="U54" s="29"/>
      <c r="V54" s="457"/>
      <c r="W54" s="477"/>
      <c r="X54" s="457"/>
      <c r="Y54" s="477"/>
      <c r="Z54" s="457"/>
      <c r="AA54" s="457"/>
      <c r="AB54" s="457"/>
      <c r="AC54" s="457"/>
      <c r="AD54" s="689"/>
      <c r="AE54" s="784"/>
      <c r="AF54" s="722"/>
      <c r="AG54" s="798"/>
      <c r="AH54" s="688"/>
      <c r="AI54" s="784"/>
      <c r="AJ54" s="722"/>
      <c r="AK54" s="688"/>
      <c r="AL54" s="688"/>
      <c r="AM54" s="98"/>
      <c r="AN54" s="130"/>
      <c r="AO54" s="130" t="s">
        <v>525</v>
      </c>
      <c r="AP54" s="37"/>
      <c r="AQ54" s="37"/>
      <c r="AR54" s="37"/>
      <c r="AS54" s="457"/>
      <c r="AT54" s="457"/>
      <c r="AU54" s="477"/>
      <c r="AV54" s="457"/>
      <c r="AW54" s="477"/>
      <c r="AX54" s="457"/>
      <c r="AY54" s="457"/>
      <c r="AZ54" s="457"/>
      <c r="BA54" s="457"/>
      <c r="BB54" s="461"/>
      <c r="BC54" s="763"/>
      <c r="BI54" s="4">
        <v>11</v>
      </c>
    </row>
    <row r="55" spans="1:61" ht="11.45" customHeight="1">
      <c r="A55" s="43" t="s">
        <v>279</v>
      </c>
      <c r="E55" s="747"/>
      <c r="F55" s="747"/>
      <c r="G55" s="747"/>
      <c r="H55" s="747"/>
      <c r="I55" s="747"/>
      <c r="J55" s="747"/>
      <c r="K55" s="745"/>
      <c r="P55" s="748"/>
      <c r="Q55" s="748"/>
      <c r="R55" s="120"/>
      <c r="S55" s="725"/>
      <c r="T55" s="800"/>
      <c r="U55" s="29"/>
      <c r="V55" s="457"/>
      <c r="W55" s="477"/>
      <c r="X55" s="457"/>
      <c r="Y55" s="477"/>
      <c r="Z55" s="457"/>
      <c r="AA55" s="457"/>
      <c r="AB55" s="457"/>
      <c r="AC55" s="457"/>
      <c r="AD55" s="689"/>
      <c r="AE55" s="784"/>
      <c r="AF55" s="722"/>
      <c r="AG55" s="798"/>
      <c r="AH55" s="688"/>
      <c r="AI55" s="98"/>
      <c r="AJ55" s="37"/>
      <c r="AK55" s="37" t="s">
        <v>526</v>
      </c>
      <c r="AL55" s="457"/>
      <c r="AM55" s="457"/>
      <c r="AN55" s="457"/>
      <c r="AO55" s="457"/>
      <c r="AP55" s="457"/>
      <c r="AQ55" s="457"/>
      <c r="AR55" s="457"/>
      <c r="AS55" s="457"/>
      <c r="AT55" s="457"/>
      <c r="AU55" s="477"/>
      <c r="AV55" s="457"/>
      <c r="AW55" s="477"/>
      <c r="AX55" s="457"/>
      <c r="AY55" s="457"/>
      <c r="AZ55" s="457"/>
      <c r="BA55" s="457"/>
      <c r="BB55" s="461"/>
      <c r="BC55" s="763"/>
      <c r="BI55" s="4">
        <v>11</v>
      </c>
    </row>
    <row r="56" spans="1:61" ht="11.45" customHeight="1">
      <c r="A56" s="43" t="s">
        <v>279</v>
      </c>
      <c r="B56" s="43" t="s">
        <v>280</v>
      </c>
      <c r="C56" s="43" t="s">
        <v>281</v>
      </c>
      <c r="D56" s="43" t="s">
        <v>532</v>
      </c>
      <c r="E56" s="747"/>
      <c r="F56" s="747"/>
      <c r="G56" s="747"/>
      <c r="H56" s="747"/>
      <c r="I56" s="747"/>
      <c r="J56" s="747"/>
      <c r="K56" s="745"/>
      <c r="P56" s="748"/>
      <c r="Q56" s="748"/>
      <c r="R56" s="120"/>
      <c r="S56" s="726"/>
      <c r="T56" s="801"/>
      <c r="U56" s="29"/>
      <c r="V56" s="457"/>
      <c r="W56" s="458" t="str">
        <f>Z52&amp;"-"&amp;AB52</f>
        <v>-</v>
      </c>
      <c r="X56" s="457"/>
      <c r="Y56" s="458" t="str">
        <f>AB52&amp;"-"&amp;AD52</f>
        <v>-да</v>
      </c>
      <c r="Z56" s="457"/>
      <c r="AA56" s="457"/>
      <c r="AB56" s="457"/>
      <c r="AC56" s="457"/>
      <c r="AD56" s="687"/>
      <c r="AE56" s="98"/>
      <c r="AF56" s="37"/>
      <c r="AG56" s="37" t="s">
        <v>508</v>
      </c>
      <c r="AH56" s="457"/>
      <c r="AI56" s="457"/>
      <c r="AJ56" s="457"/>
      <c r="AK56" s="457"/>
      <c r="AL56" s="457"/>
      <c r="AM56" s="457"/>
      <c r="AN56" s="457"/>
      <c r="AO56" s="457"/>
      <c r="AP56" s="457"/>
      <c r="AQ56" s="457"/>
      <c r="AR56" s="457"/>
      <c r="AS56" s="457"/>
      <c r="AT56" s="457"/>
      <c r="AU56" s="458" t="str">
        <f>AX52&amp;"-"&amp;AZ52</f>
        <v>-</v>
      </c>
      <c r="AV56" s="457"/>
      <c r="AW56" s="458" t="str">
        <f>AZ52&amp;"-"&amp;BB52</f>
        <v>-</v>
      </c>
      <c r="AX56" s="457"/>
      <c r="AY56" s="457"/>
      <c r="AZ56" s="457"/>
      <c r="BA56" s="457"/>
      <c r="BB56" s="460" t="str">
        <f>BE52&amp;"-"&amp;BG52</f>
        <v>-</v>
      </c>
      <c r="BC56" s="763"/>
      <c r="BF56" s="46" t="str">
        <f t="shared" ref="BF56:BF63" si="4">IF(T56="","",T56)</f>
        <v/>
      </c>
      <c r="BI56" s="4">
        <v>11</v>
      </c>
    </row>
    <row r="57" spans="1:61" ht="11.45" customHeight="1">
      <c r="A57" s="43" t="s">
        <v>279</v>
      </c>
      <c r="B57" s="43" t="s">
        <v>280</v>
      </c>
      <c r="C57" s="43" t="s">
        <v>281</v>
      </c>
      <c r="D57" s="43" t="s">
        <v>532</v>
      </c>
      <c r="E57" s="747"/>
      <c r="F57" s="747"/>
      <c r="G57" s="747"/>
      <c r="H57" s="747"/>
      <c r="I57" s="747"/>
      <c r="J57" s="745"/>
      <c r="P57" s="748"/>
      <c r="Q57" s="748"/>
      <c r="R57" s="120"/>
      <c r="S57" s="434"/>
      <c r="T57" s="37" t="s">
        <v>471</v>
      </c>
      <c r="U57" s="58"/>
      <c r="V57" s="58"/>
      <c r="W57" s="58"/>
      <c r="X57" s="58"/>
      <c r="Y57" s="58"/>
      <c r="Z57" s="58"/>
      <c r="AA57" s="58"/>
      <c r="AB57" s="58"/>
      <c r="AC57" s="59"/>
      <c r="AD57" s="184"/>
      <c r="AE57" s="58"/>
      <c r="AF57" s="58"/>
      <c r="AG57" s="58"/>
      <c r="AH57" s="58"/>
      <c r="AI57" s="58"/>
      <c r="AJ57" s="58"/>
      <c r="AK57" s="58"/>
      <c r="AL57" s="58"/>
      <c r="AM57" s="58"/>
      <c r="AN57" s="58"/>
      <c r="AO57" s="58"/>
      <c r="AP57" s="58"/>
      <c r="AQ57" s="58"/>
      <c r="AR57" s="58"/>
      <c r="AS57" s="58"/>
      <c r="AT57" s="58"/>
      <c r="AU57" s="58"/>
      <c r="AV57" s="58"/>
      <c r="AW57" s="58"/>
      <c r="AX57" s="58"/>
      <c r="AY57" s="58"/>
      <c r="AZ57" s="58"/>
      <c r="BA57" s="58"/>
      <c r="BB57" s="59"/>
      <c r="BC57" s="764"/>
      <c r="BF57" s="46" t="str">
        <f t="shared" si="4"/>
        <v>Добавить строку</v>
      </c>
      <c r="BI57" s="4">
        <v>11</v>
      </c>
    </row>
    <row r="58" spans="1:61" s="46" customFormat="1" ht="0" hidden="1" customHeight="1">
      <c r="A58" s="46" t="s">
        <v>279</v>
      </c>
      <c r="B58" s="46" t="s">
        <v>280</v>
      </c>
      <c r="C58" s="46" t="s">
        <v>281</v>
      </c>
      <c r="D58" s="46" t="s">
        <v>532</v>
      </c>
      <c r="E58" s="747"/>
      <c r="F58" s="747"/>
      <c r="G58" s="747"/>
      <c r="H58" s="747"/>
      <c r="I58" s="745"/>
      <c r="M58" s="160"/>
      <c r="N58" s="160"/>
      <c r="O58" s="160"/>
      <c r="P58" s="748"/>
      <c r="R58" s="120"/>
      <c r="S58" s="455"/>
      <c r="T58" s="354"/>
      <c r="U58" s="354"/>
      <c r="V58" s="354"/>
      <c r="W58" s="354"/>
      <c r="X58" s="354"/>
      <c r="Y58" s="354"/>
      <c r="Z58" s="354"/>
      <c r="AA58" s="354"/>
      <c r="AB58" s="354"/>
      <c r="AC58" s="354"/>
      <c r="AD58" s="354"/>
      <c r="AE58" s="354"/>
      <c r="AF58" s="354"/>
      <c r="AG58" s="354"/>
      <c r="AH58" s="354"/>
      <c r="AI58" s="354"/>
      <c r="AJ58" s="354"/>
      <c r="AK58" s="354"/>
      <c r="AL58" s="354"/>
      <c r="AM58" s="354"/>
      <c r="AN58" s="354"/>
      <c r="AO58" s="354"/>
      <c r="AP58" s="354"/>
      <c r="AQ58" s="354"/>
      <c r="AR58" s="354"/>
      <c r="AS58" s="354"/>
      <c r="AT58" s="354"/>
      <c r="AU58" s="354"/>
      <c r="AV58" s="354"/>
      <c r="AW58" s="354"/>
      <c r="AX58" s="354"/>
      <c r="AY58" s="354"/>
      <c r="AZ58" s="354"/>
      <c r="BA58" s="354"/>
      <c r="BB58" s="354"/>
      <c r="BC58" s="314"/>
      <c r="BF58" s="46" t="str">
        <f t="shared" si="4"/>
        <v/>
      </c>
      <c r="BI58" s="46">
        <v>0</v>
      </c>
    </row>
    <row r="59" spans="1:61" s="46" customFormat="1" ht="0" hidden="1" customHeight="1">
      <c r="A59" s="46" t="s">
        <v>279</v>
      </c>
      <c r="B59" s="46" t="s">
        <v>280</v>
      </c>
      <c r="C59" s="46" t="s">
        <v>281</v>
      </c>
      <c r="D59" s="46" t="s">
        <v>532</v>
      </c>
      <c r="E59" s="747"/>
      <c r="F59" s="747"/>
      <c r="G59" s="747"/>
      <c r="H59" s="745"/>
      <c r="Q59" s="446"/>
      <c r="R59" s="120"/>
      <c r="S59" s="455"/>
      <c r="T59" s="354"/>
      <c r="U59" s="354"/>
      <c r="V59" s="354"/>
      <c r="W59" s="354"/>
      <c r="X59" s="354"/>
      <c r="Y59" s="354"/>
      <c r="Z59" s="354"/>
      <c r="AA59" s="354"/>
      <c r="AB59" s="354"/>
      <c r="AC59" s="354"/>
      <c r="AD59" s="354"/>
      <c r="AE59" s="354"/>
      <c r="AF59" s="354"/>
      <c r="AG59" s="354"/>
      <c r="AH59" s="354"/>
      <c r="AI59" s="354"/>
      <c r="AJ59" s="354"/>
      <c r="AK59" s="354"/>
      <c r="AL59" s="354"/>
      <c r="AM59" s="354"/>
      <c r="AN59" s="354"/>
      <c r="AO59" s="354"/>
      <c r="AP59" s="354"/>
      <c r="AQ59" s="354"/>
      <c r="AR59" s="354"/>
      <c r="AS59" s="354"/>
      <c r="AT59" s="354"/>
      <c r="AU59" s="354"/>
      <c r="AV59" s="354"/>
      <c r="AW59" s="354"/>
      <c r="AX59" s="354"/>
      <c r="AY59" s="354"/>
      <c r="AZ59" s="354"/>
      <c r="BA59" s="354"/>
      <c r="BB59" s="354"/>
      <c r="BC59" s="314"/>
      <c r="BF59" s="46" t="str">
        <f t="shared" si="4"/>
        <v/>
      </c>
      <c r="BI59" s="46">
        <v>0</v>
      </c>
    </row>
    <row r="60" spans="1:61" s="46" customFormat="1" ht="0" hidden="1" customHeight="1">
      <c r="A60" s="46" t="s">
        <v>279</v>
      </c>
      <c r="B60" s="46" t="s">
        <v>280</v>
      </c>
      <c r="C60" s="46" t="s">
        <v>281</v>
      </c>
      <c r="E60" s="747"/>
      <c r="F60" s="747"/>
      <c r="G60" s="745"/>
      <c r="Q60" s="446"/>
      <c r="S60" s="449"/>
      <c r="T60" s="160"/>
      <c r="U60" s="160"/>
      <c r="V60" s="160"/>
      <c r="W60" s="160"/>
      <c r="X60" s="160"/>
      <c r="Y60" s="160"/>
      <c r="Z60" s="160"/>
      <c r="AA60" s="160"/>
      <c r="AB60" s="160"/>
      <c r="AC60" s="160"/>
      <c r="AD60" s="160"/>
      <c r="AE60" s="160"/>
      <c r="AF60" s="160"/>
      <c r="AG60" s="160"/>
      <c r="AH60" s="160"/>
      <c r="AI60" s="160"/>
      <c r="AJ60" s="160"/>
      <c r="AK60" s="160"/>
      <c r="AL60" s="160"/>
      <c r="AM60" s="160"/>
      <c r="AN60" s="160"/>
      <c r="AO60" s="160"/>
      <c r="AP60" s="160"/>
      <c r="AQ60" s="160"/>
      <c r="AR60" s="160"/>
      <c r="AS60" s="160"/>
      <c r="AT60" s="160"/>
      <c r="AU60" s="160"/>
      <c r="AV60" s="160"/>
      <c r="AW60" s="160"/>
      <c r="AX60" s="160"/>
      <c r="AY60" s="160"/>
      <c r="AZ60" s="160"/>
      <c r="BA60" s="160"/>
      <c r="BB60" s="160"/>
      <c r="BC60" s="160"/>
      <c r="BF60" s="46" t="str">
        <f t="shared" si="4"/>
        <v/>
      </c>
      <c r="BI60" s="46">
        <v>0</v>
      </c>
    </row>
    <row r="61" spans="1:61" s="46" customFormat="1" ht="0" hidden="1" customHeight="1">
      <c r="A61" s="46" t="s">
        <v>279</v>
      </c>
      <c r="B61" s="46" t="s">
        <v>280</v>
      </c>
      <c r="E61" s="747"/>
      <c r="F61" s="745"/>
      <c r="M61" s="160"/>
      <c r="N61" s="160"/>
      <c r="Q61" s="446"/>
      <c r="S61" s="449"/>
      <c r="T61" s="160" t="s">
        <v>418</v>
      </c>
      <c r="U61" s="160"/>
      <c r="V61" s="160"/>
      <c r="W61" s="160"/>
      <c r="X61" s="160"/>
      <c r="Y61" s="160"/>
      <c r="Z61" s="160"/>
      <c r="AA61" s="160"/>
      <c r="AB61" s="160"/>
      <c r="AC61" s="160"/>
      <c r="AD61" s="160"/>
      <c r="AE61" s="160"/>
      <c r="AF61" s="160"/>
      <c r="AG61" s="160"/>
      <c r="AH61" s="160"/>
      <c r="AI61" s="160"/>
      <c r="AJ61" s="160"/>
      <c r="AK61" s="160"/>
      <c r="AL61" s="160"/>
      <c r="AM61" s="160"/>
      <c r="AN61" s="160"/>
      <c r="AO61" s="160"/>
      <c r="AP61" s="160"/>
      <c r="AQ61" s="160"/>
      <c r="AR61" s="160"/>
      <c r="AS61" s="160"/>
      <c r="AT61" s="160"/>
      <c r="AU61" s="160"/>
      <c r="AV61" s="160"/>
      <c r="AW61" s="160"/>
      <c r="AX61" s="160"/>
      <c r="AY61" s="160"/>
      <c r="AZ61" s="160"/>
      <c r="BA61" s="160"/>
      <c r="BB61" s="160"/>
      <c r="BC61" s="160"/>
      <c r="BF61" s="46" t="str">
        <f t="shared" si="4"/>
        <v>Добавить централизованную систему для дифференциации</v>
      </c>
      <c r="BI61" s="46">
        <v>0</v>
      </c>
    </row>
    <row r="62" spans="1:61" s="46" customFormat="1" ht="0" hidden="1" customHeight="1">
      <c r="A62" s="46" t="s">
        <v>279</v>
      </c>
      <c r="E62" s="745"/>
      <c r="M62" s="160"/>
      <c r="N62" s="160"/>
      <c r="Q62" s="446"/>
      <c r="S62" s="449"/>
      <c r="T62" s="160" t="s">
        <v>419</v>
      </c>
      <c r="U62" s="160"/>
      <c r="V62" s="160"/>
      <c r="W62" s="160"/>
      <c r="X62" s="160"/>
      <c r="Y62" s="160"/>
      <c r="Z62" s="160"/>
      <c r="AA62" s="160"/>
      <c r="AB62" s="160"/>
      <c r="AC62" s="160"/>
      <c r="AD62" s="160"/>
      <c r="AE62" s="160"/>
      <c r="AF62" s="160"/>
      <c r="AG62" s="160"/>
      <c r="AH62" s="160"/>
      <c r="AI62" s="160"/>
      <c r="AJ62" s="160"/>
      <c r="AK62" s="160"/>
      <c r="AL62" s="160"/>
      <c r="AM62" s="160"/>
      <c r="AN62" s="160"/>
      <c r="AO62" s="160"/>
      <c r="AP62" s="160"/>
      <c r="AQ62" s="160"/>
      <c r="AR62" s="160"/>
      <c r="AS62" s="160"/>
      <c r="AT62" s="160"/>
      <c r="AU62" s="160"/>
      <c r="AV62" s="160"/>
      <c r="AW62" s="160"/>
      <c r="AX62" s="160"/>
      <c r="AY62" s="160"/>
      <c r="AZ62" s="160"/>
      <c r="BA62" s="160"/>
      <c r="BB62" s="160"/>
      <c r="BC62" s="160"/>
      <c r="BF62" s="46" t="str">
        <f t="shared" si="4"/>
        <v>Добавить территорию для дифференциации</v>
      </c>
      <c r="BI62" s="46">
        <v>0</v>
      </c>
    </row>
    <row r="63" spans="1:61" s="46" customFormat="1" ht="0" hidden="1" customHeight="1">
      <c r="M63" s="160"/>
      <c r="N63" s="160"/>
      <c r="Q63" s="446"/>
      <c r="S63" s="449"/>
      <c r="T63" s="160" t="s">
        <v>451</v>
      </c>
      <c r="U63" s="160"/>
      <c r="V63" s="160"/>
      <c r="W63" s="160"/>
      <c r="X63" s="160"/>
      <c r="Y63" s="160"/>
      <c r="Z63" s="160"/>
      <c r="AA63" s="160"/>
      <c r="AB63" s="160"/>
      <c r="AC63" s="160"/>
      <c r="AD63" s="160"/>
      <c r="AE63" s="160"/>
      <c r="AF63" s="160"/>
      <c r="AG63" s="160"/>
      <c r="AH63" s="160"/>
      <c r="AI63" s="160"/>
      <c r="AJ63" s="160"/>
      <c r="AK63" s="160"/>
      <c r="AL63" s="160"/>
      <c r="AM63" s="160"/>
      <c r="AN63" s="160"/>
      <c r="AO63" s="160"/>
      <c r="AP63" s="160"/>
      <c r="AQ63" s="160"/>
      <c r="AR63" s="160"/>
      <c r="AS63" s="160"/>
      <c r="AT63" s="160"/>
      <c r="AU63" s="160"/>
      <c r="AV63" s="160"/>
      <c r="AW63" s="160"/>
      <c r="AX63" s="160"/>
      <c r="AY63" s="160"/>
      <c r="AZ63" s="160"/>
      <c r="BA63" s="160"/>
      <c r="BB63" s="160"/>
      <c r="BC63" s="160"/>
      <c r="BF63" s="46" t="str">
        <f t="shared" si="4"/>
        <v>Добавить наименование тарифа</v>
      </c>
      <c r="BI63" s="46">
        <v>0</v>
      </c>
    </row>
    <row r="64" spans="1:61" ht="11.45" customHeight="1">
      <c r="M64" s="43"/>
      <c r="N64" s="43"/>
      <c r="O64" s="43"/>
      <c r="P64" s="43"/>
      <c r="Q64" s="43"/>
      <c r="R64" s="4"/>
      <c r="BD64" s="4"/>
      <c r="BE64" s="4"/>
      <c r="BF64" s="4"/>
      <c r="BG64" s="4"/>
      <c r="BH64" s="4"/>
      <c r="BI64" s="4">
        <v>11</v>
      </c>
    </row>
    <row r="65" spans="1:61" ht="14.65" customHeight="1">
      <c r="O65" s="43"/>
      <c r="T65" s="665"/>
      <c r="U65" s="665"/>
      <c r="V65" s="665"/>
      <c r="W65" s="665"/>
      <c r="X65" s="665"/>
      <c r="Y65" s="665"/>
      <c r="Z65" s="665"/>
      <c r="AA65" s="665"/>
      <c r="AB65" s="665"/>
      <c r="AC65" s="665"/>
      <c r="AD65" s="665"/>
      <c r="AE65" s="665"/>
      <c r="AF65" s="665"/>
      <c r="AG65" s="665"/>
      <c r="AH65" s="665"/>
      <c r="AI65" s="665"/>
      <c r="AJ65" s="665"/>
      <c r="AK65" s="665"/>
      <c r="AL65" s="665"/>
      <c r="AM65" s="665"/>
      <c r="AN65" s="665"/>
      <c r="AO65" s="665"/>
      <c r="AP65" s="665"/>
      <c r="AQ65" s="665"/>
      <c r="AR65" s="665"/>
      <c r="AS65" s="665"/>
      <c r="AT65" s="665"/>
      <c r="AU65" s="665"/>
      <c r="AV65" s="665"/>
      <c r="AW65" s="665"/>
      <c r="AX65" s="665"/>
      <c r="AY65" s="665"/>
      <c r="AZ65" s="665"/>
      <c r="BA65" s="665"/>
      <c r="BB65" s="665"/>
      <c r="BC65" s="665"/>
      <c r="BI65" s="4">
        <v>14</v>
      </c>
    </row>
    <row r="66" spans="1:61" ht="14.65" customHeight="1">
      <c r="O66" s="43"/>
      <c r="BI66" s="4">
        <v>14</v>
      </c>
    </row>
    <row r="67" spans="1:61" ht="14.65" customHeight="1">
      <c r="O67" s="43"/>
      <c r="T67" s="665"/>
      <c r="U67" s="665"/>
      <c r="V67" s="665"/>
      <c r="W67" s="665"/>
      <c r="X67" s="665"/>
      <c r="Y67" s="665"/>
      <c r="Z67" s="665"/>
      <c r="AA67" s="665"/>
      <c r="AB67" s="665"/>
      <c r="AC67" s="665"/>
      <c r="AD67" s="665"/>
      <c r="AE67" s="665"/>
      <c r="AF67" s="665"/>
      <c r="AG67" s="665"/>
      <c r="AH67" s="665"/>
      <c r="AI67" s="665"/>
      <c r="AJ67" s="665"/>
      <c r="AK67" s="665"/>
      <c r="AL67" s="665"/>
      <c r="AM67" s="665"/>
      <c r="AN67" s="665"/>
      <c r="AO67" s="665"/>
      <c r="AP67" s="665"/>
      <c r="AQ67" s="665"/>
      <c r="AR67" s="665"/>
      <c r="AS67" s="665"/>
      <c r="AT67" s="665"/>
      <c r="AU67" s="665"/>
      <c r="AV67" s="665"/>
      <c r="AW67" s="665"/>
      <c r="AX67" s="665"/>
      <c r="AY67" s="665"/>
      <c r="AZ67" s="665"/>
      <c r="BA67" s="665"/>
      <c r="BB67" s="665"/>
      <c r="BC67" s="665"/>
      <c r="BI67" s="4">
        <v>14</v>
      </c>
    </row>
    <row r="68" spans="1:61" ht="14.65" customHeight="1">
      <c r="O68" s="43"/>
      <c r="BI68" s="4">
        <v>14</v>
      </c>
    </row>
    <row r="69" spans="1:61" ht="14.25" hidden="1" customHeight="1">
      <c r="A69" s="43" t="s">
        <v>82</v>
      </c>
      <c r="B69" s="43">
        <v>0</v>
      </c>
      <c r="C69" s="43">
        <v>0</v>
      </c>
      <c r="D69" s="43">
        <v>0</v>
      </c>
      <c r="E69" s="43">
        <v>0</v>
      </c>
      <c r="F69" s="43">
        <v>0</v>
      </c>
      <c r="G69" s="43">
        <v>0</v>
      </c>
      <c r="H69" s="43">
        <v>0</v>
      </c>
      <c r="I69" s="43">
        <v>0</v>
      </c>
      <c r="J69" s="43">
        <v>0</v>
      </c>
      <c r="K69" s="43">
        <v>0</v>
      </c>
      <c r="L69" s="43">
        <v>0</v>
      </c>
      <c r="M69" s="167">
        <v>0</v>
      </c>
      <c r="N69" s="167">
        <v>0</v>
      </c>
      <c r="O69" s="167">
        <v>0</v>
      </c>
      <c r="P69" s="167">
        <v>0</v>
      </c>
      <c r="Q69" s="452">
        <v>0</v>
      </c>
      <c r="R69" s="20">
        <v>3</v>
      </c>
      <c r="S69" s="4">
        <v>12</v>
      </c>
      <c r="T69" s="4">
        <v>31</v>
      </c>
      <c r="U69" s="4">
        <v>0</v>
      </c>
      <c r="V69" s="4">
        <v>0</v>
      </c>
      <c r="W69" s="4">
        <v>0</v>
      </c>
      <c r="X69" s="4">
        <v>0</v>
      </c>
      <c r="Y69" s="4">
        <v>0</v>
      </c>
      <c r="Z69" s="4">
        <v>0</v>
      </c>
      <c r="AA69" s="4">
        <v>0</v>
      </c>
      <c r="AB69" s="4">
        <v>0</v>
      </c>
      <c r="AC69" s="4">
        <v>0</v>
      </c>
      <c r="AD69" s="4">
        <v>3</v>
      </c>
      <c r="AE69" s="4">
        <v>3</v>
      </c>
      <c r="AF69" s="4">
        <v>3</v>
      </c>
      <c r="AG69" s="4">
        <v>24</v>
      </c>
      <c r="AH69" s="4">
        <v>3</v>
      </c>
      <c r="AI69" s="4">
        <v>3</v>
      </c>
      <c r="AJ69" s="4">
        <v>3</v>
      </c>
      <c r="AK69" s="4">
        <v>24</v>
      </c>
      <c r="AL69" s="4">
        <v>3</v>
      </c>
      <c r="AM69" s="4">
        <v>3</v>
      </c>
      <c r="AN69" s="4">
        <v>3</v>
      </c>
      <c r="AO69" s="4">
        <v>18</v>
      </c>
      <c r="AP69" s="4">
        <v>3</v>
      </c>
      <c r="AQ69" s="4">
        <v>3</v>
      </c>
      <c r="AR69" s="4">
        <v>3</v>
      </c>
      <c r="AS69" s="4">
        <v>18</v>
      </c>
      <c r="AT69" s="4">
        <v>21</v>
      </c>
      <c r="AU69" s="4">
        <v>21</v>
      </c>
      <c r="AV69" s="4">
        <v>21</v>
      </c>
      <c r="AW69" s="4">
        <v>21</v>
      </c>
      <c r="AX69" s="4">
        <v>11</v>
      </c>
      <c r="AY69" s="4">
        <v>3</v>
      </c>
      <c r="AZ69" s="4">
        <v>11</v>
      </c>
      <c r="BA69" s="4">
        <v>0</v>
      </c>
      <c r="BB69" s="4">
        <v>4</v>
      </c>
      <c r="BC69" s="4">
        <v>115</v>
      </c>
      <c r="BD69" s="46">
        <v>10</v>
      </c>
      <c r="BE69" s="46">
        <v>10</v>
      </c>
      <c r="BF69" s="46">
        <v>10</v>
      </c>
      <c r="BG69" s="46">
        <v>10</v>
      </c>
      <c r="BH69" s="46">
        <v>10</v>
      </c>
      <c r="BI69" s="4">
        <v>23</v>
      </c>
    </row>
  </sheetData>
  <sheetProtection formatColumns="0" formatRows="0" insertRows="0" deleteColumns="0" deleteRows="0" sort="0" autoFilter="0"/>
  <mergeCells count="122">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 ref="BC8:BC13"/>
    <mergeCell ref="AF8:AF11"/>
    <mergeCell ref="AG8:AG11"/>
    <mergeCell ref="AH8:AH11"/>
    <mergeCell ref="AI8:AI10"/>
    <mergeCell ref="AJ8:AJ10"/>
    <mergeCell ref="AK8:AK10"/>
    <mergeCell ref="K8:K12"/>
    <mergeCell ref="R8:R12"/>
    <mergeCell ref="S8:S12"/>
    <mergeCell ref="T8:T12"/>
    <mergeCell ref="AD8:AD12"/>
    <mergeCell ref="AE8:AE11"/>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xr:uid="{00000000-0002-0000-1C00-000000000000}">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xr:uid="{00000000-0002-0000-1C00-000001000000}">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xr:uid="{00000000-0002-0000-1C00-000002000000}"/>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xr:uid="{00000000-0002-0000-1C00-000003000000}"/>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xr:uid="{00000000-0002-0000-1C00-000004000000}">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xr:uid="{00000000-0002-0000-1C00-000005000000}"/>
    <dataValidation type="decimal" allowBlank="1" showErrorMessage="1" errorTitle="Ошибка" error="Допускается ввод только действительных чисел!" sqref="AO52:AO53 AG8:AG11 AO8:AO9 AG52:AG55" xr:uid="{00000000-0002-0000-1C00-000006000000}">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xr:uid="{00000000-0002-0000-1C00-000007000000}">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xr:uid="{00000000-0002-0000-1C00-00000800000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9A6D6C-4E7A-AD19-9E66-5BBAE1425AE1}">
  <sheetPr>
    <tabColor theme="6" tint="0.39997558519241921"/>
  </sheetPr>
  <dimension ref="A1:AY59"/>
  <sheetViews>
    <sheetView showGridLines="0" zoomScale="90" workbookViewId="0">
      <pane xSplit="32" ySplit="41" topLeftCell="AG42" activePane="bottomRight" state="frozen"/>
      <selection pane="topRight" activeCell="AG1" sqref="AG1"/>
      <selection pane="bottomLeft" activeCell="A42" sqref="A42"/>
      <selection pane="bottomRight"/>
    </sheetView>
  </sheetViews>
  <sheetFormatPr defaultColWidth="10.5703125" defaultRowHeight="14.25" customHeight="1"/>
  <cols>
    <col min="1" max="1" width="10.5703125" style="43" hidden="1"/>
    <col min="2" max="2" width="11" style="43" hidden="1" customWidth="1"/>
    <col min="3" max="3" width="10.5703125" style="43" hidden="1"/>
    <col min="4" max="4" width="11.85546875" style="43" hidden="1" customWidth="1"/>
    <col min="5" max="5" width="10" style="43" hidden="1" customWidth="1"/>
    <col min="6" max="6" width="8.7109375" style="43" hidden="1" customWidth="1"/>
    <col min="7" max="7" width="7.5703125" style="43" hidden="1" customWidth="1"/>
    <col min="8" max="8" width="11.42578125" style="43" hidden="1" customWidth="1"/>
    <col min="9" max="9" width="14.140625" style="43" hidden="1" customWidth="1"/>
    <col min="10" max="10" width="9.85546875" style="43" hidden="1" customWidth="1"/>
    <col min="11" max="11" width="14.7109375" style="43" hidden="1" customWidth="1"/>
    <col min="12" max="12" width="19.140625" style="43" hidden="1" customWidth="1"/>
    <col min="13" max="14" width="12.28515625" style="167" hidden="1" customWidth="1"/>
    <col min="15" max="15" width="23.42578125" style="167" hidden="1" customWidth="1"/>
    <col min="16" max="16" width="3" style="23" customWidth="1"/>
    <col min="17" max="18" width="3" style="20" customWidth="1"/>
    <col min="19" max="19" width="12" style="4" customWidth="1"/>
    <col min="20" max="20" width="35" style="4" customWidth="1"/>
    <col min="21" max="21" width="0.140625" style="4" customWidth="1"/>
    <col min="22" max="28" width="19.7109375" style="4" hidden="1" customWidth="1"/>
    <col min="29" max="29" width="11.7109375" style="4" hidden="1" customWidth="1"/>
    <col min="30" max="30" width="3.7109375" style="4" hidden="1" customWidth="1"/>
    <col min="31" max="31" width="11.7109375" style="4" hidden="1" customWidth="1"/>
    <col min="32" max="32" width="8.5703125" style="4" hidden="1" customWidth="1"/>
    <col min="33" max="33" width="19.7109375" style="4" customWidth="1"/>
    <col min="34" max="39" width="19" style="4" customWidth="1"/>
    <col min="40" max="40" width="11" style="4" customWidth="1"/>
    <col min="41" max="41" width="3.7109375" style="4" customWidth="1"/>
    <col min="42" max="42" width="11" style="4" customWidth="1"/>
    <col min="43" max="43" width="8.5703125" style="4" hidden="1" customWidth="1"/>
    <col min="44" max="44" width="4" style="4" customWidth="1"/>
    <col min="45" max="45" width="115" style="4" customWidth="1"/>
    <col min="46" max="50" width="10" style="46" customWidth="1"/>
    <col min="51" max="51" width="10.5703125" style="4" hidden="1"/>
  </cols>
  <sheetData>
    <row r="1" spans="5:51" ht="22.5" hidden="1" customHeight="1">
      <c r="AY1" s="4" t="s">
        <v>14</v>
      </c>
    </row>
    <row r="2" spans="5:51" ht="23.25" hidden="1" customHeight="1">
      <c r="E2" s="745">
        <v>1</v>
      </c>
      <c r="M2" s="43"/>
      <c r="N2" s="43"/>
      <c r="O2" s="43"/>
      <c r="Q2" s="4"/>
      <c r="R2" s="119"/>
      <c r="S2" s="24" t="e">
        <f>INDEX(PT_DIFFERENTIATION_NUM_NTAR,MATCH(A2,PT_DIFFERENTIATION_NTAR_ID,0))</f>
        <v>#N/A</v>
      </c>
      <c r="T2" s="29" t="s">
        <v>128</v>
      </c>
      <c r="U2" s="29"/>
      <c r="V2" s="742"/>
      <c r="W2" s="743"/>
      <c r="X2" s="743"/>
      <c r="Y2" s="743"/>
      <c r="Z2" s="743"/>
      <c r="AA2" s="743"/>
      <c r="AB2" s="743"/>
      <c r="AC2" s="743"/>
      <c r="AD2" s="743"/>
      <c r="AE2" s="743"/>
      <c r="AF2" s="744"/>
      <c r="AG2" s="742" t="e">
        <f>INDEX(PT_DIFFERENTIATION_NTAR,MATCH(A2,PT_DIFFERENTIATION_NTAR_ID,0))</f>
        <v>#N/A</v>
      </c>
      <c r="AH2" s="743"/>
      <c r="AI2" s="743"/>
      <c r="AJ2" s="743"/>
      <c r="AK2" s="743"/>
      <c r="AL2" s="743"/>
      <c r="AM2" s="743"/>
      <c r="AN2" s="743"/>
      <c r="AO2" s="743"/>
      <c r="AP2" s="743"/>
      <c r="AQ2" s="743"/>
      <c r="AR2" s="744"/>
      <c r="AS2" s="4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V2" s="46" t="str">
        <f t="shared" ref="AV2:AV13" si="0">IF(T2="","",T2)</f>
        <v>Наименование тарифа</v>
      </c>
      <c r="AY2" s="4">
        <v>0</v>
      </c>
    </row>
    <row r="3" spans="5:51" ht="23.25" hidden="1" customHeight="1">
      <c r="E3" s="747"/>
      <c r="F3" s="745">
        <v>1</v>
      </c>
      <c r="M3" s="43"/>
      <c r="N3" s="43"/>
      <c r="O3" s="43"/>
      <c r="P3" s="4"/>
      <c r="Q3" s="118"/>
      <c r="R3" s="119"/>
      <c r="S3" s="24" t="e">
        <f>INDEX(PT_DIFFERENTIATION_NUM_TER,MATCH(B3,PT_DIFFERENTIATION_TER_ID,0))</f>
        <v>#N/A</v>
      </c>
      <c r="T3" s="24" t="s">
        <v>400</v>
      </c>
      <c r="U3" s="29"/>
      <c r="V3" s="742"/>
      <c r="W3" s="743"/>
      <c r="X3" s="743"/>
      <c r="Y3" s="743"/>
      <c r="Z3" s="743"/>
      <c r="AA3" s="743"/>
      <c r="AB3" s="743"/>
      <c r="AC3" s="743"/>
      <c r="AD3" s="743"/>
      <c r="AE3" s="743"/>
      <c r="AF3" s="744"/>
      <c r="AG3" s="742" t="e">
        <f>INDEX(PT_DIFFERENTIATION_TER,MATCH(B3,PT_DIFFERENTIATION_TER_ID,0))</f>
        <v>#N/A</v>
      </c>
      <c r="AH3" s="743"/>
      <c r="AI3" s="743"/>
      <c r="AJ3" s="743"/>
      <c r="AK3" s="743"/>
      <c r="AL3" s="743"/>
      <c r="AM3" s="743"/>
      <c r="AN3" s="743"/>
      <c r="AO3" s="743"/>
      <c r="AP3" s="743"/>
      <c r="AQ3" s="743"/>
      <c r="AR3" s="744"/>
      <c r="AS3" s="428" t="s">
        <v>401</v>
      </c>
      <c r="AV3" s="46" t="str">
        <f t="shared" si="0"/>
        <v>Территория действия тарифа</v>
      </c>
      <c r="AY3" s="4">
        <v>0</v>
      </c>
    </row>
    <row r="4" spans="5:51" ht="23.25" hidden="1" customHeight="1">
      <c r="E4" s="747"/>
      <c r="F4" s="747"/>
      <c r="G4" s="745">
        <v>1</v>
      </c>
      <c r="M4" s="43"/>
      <c r="N4" s="43"/>
      <c r="O4" s="43"/>
      <c r="P4" s="16"/>
      <c r="Q4" s="118"/>
      <c r="R4" s="119"/>
      <c r="S4" s="24" t="e">
        <f>INDEX(PT_DIFFERENTIATION_NUM_CS,MATCH(C4,PT_DIFFERENTIATION_CS_ID,0))</f>
        <v>#N/A</v>
      </c>
      <c r="T4" s="24" t="s">
        <v>533</v>
      </c>
      <c r="U4" s="29"/>
      <c r="V4" s="742"/>
      <c r="W4" s="743"/>
      <c r="X4" s="743"/>
      <c r="Y4" s="743"/>
      <c r="Z4" s="743"/>
      <c r="AA4" s="743"/>
      <c r="AB4" s="743"/>
      <c r="AC4" s="743"/>
      <c r="AD4" s="743"/>
      <c r="AE4" s="743"/>
      <c r="AF4" s="744"/>
      <c r="AG4" s="742" t="e">
        <f>INDEX(PT_DIFFERENTIATION_CS,MATCH(C4,PT_DIFFERENTIATION_CS_ID,0))</f>
        <v>#N/A</v>
      </c>
      <c r="AH4" s="743"/>
      <c r="AI4" s="743"/>
      <c r="AJ4" s="743"/>
      <c r="AK4" s="743"/>
      <c r="AL4" s="743"/>
      <c r="AM4" s="743"/>
      <c r="AN4" s="743"/>
      <c r="AO4" s="743"/>
      <c r="AP4" s="743"/>
      <c r="AQ4" s="743"/>
      <c r="AR4" s="744"/>
      <c r="AS4" s="428" t="s">
        <v>534</v>
      </c>
      <c r="AV4" s="46" t="str">
        <f t="shared" si="0"/>
        <v>Наименование централизованной системы горячего водоснабжения</v>
      </c>
      <c r="AY4" s="4">
        <v>0</v>
      </c>
    </row>
    <row r="5" spans="5:51" ht="23.25" hidden="1" customHeight="1">
      <c r="E5" s="747"/>
      <c r="F5" s="747"/>
      <c r="G5" s="747"/>
      <c r="H5" s="747"/>
      <c r="I5" s="745" t="e">
        <f>S4&amp;".1"</f>
        <v>#N/A</v>
      </c>
      <c r="P5" s="748">
        <v>1</v>
      </c>
      <c r="Q5" s="46"/>
      <c r="R5" s="120"/>
      <c r="S5" s="24" t="e">
        <f>$I5</f>
        <v>#N/A</v>
      </c>
      <c r="T5" s="24" t="s">
        <v>486</v>
      </c>
      <c r="U5" s="29"/>
      <c r="V5" s="793"/>
      <c r="W5" s="794"/>
      <c r="X5" s="794"/>
      <c r="Y5" s="794"/>
      <c r="Z5" s="794"/>
      <c r="AA5" s="794"/>
      <c r="AB5" s="794"/>
      <c r="AC5" s="794"/>
      <c r="AD5" s="794"/>
      <c r="AE5" s="794"/>
      <c r="AF5" s="795"/>
      <c r="AG5" s="793"/>
      <c r="AH5" s="794"/>
      <c r="AI5" s="794"/>
      <c r="AJ5" s="794"/>
      <c r="AK5" s="794"/>
      <c r="AL5" s="794"/>
      <c r="AM5" s="794"/>
      <c r="AN5" s="794"/>
      <c r="AO5" s="794"/>
      <c r="AP5" s="794"/>
      <c r="AQ5" s="794"/>
      <c r="AR5" s="795"/>
      <c r="AS5" s="428" t="s">
        <v>487</v>
      </c>
      <c r="AV5" s="46" t="str">
        <f t="shared" si="0"/>
        <v>Наименование признака дифференциации</v>
      </c>
      <c r="AY5" s="4">
        <v>0</v>
      </c>
    </row>
    <row r="6" spans="5:51" ht="23.25" hidden="1" customHeight="1">
      <c r="E6" s="747"/>
      <c r="F6" s="747"/>
      <c r="G6" s="747"/>
      <c r="H6" s="747"/>
      <c r="I6" s="747"/>
      <c r="J6" s="745" t="e">
        <f>I5&amp;".1"</f>
        <v>#N/A</v>
      </c>
      <c r="L6" s="43" t="s">
        <v>409</v>
      </c>
      <c r="P6" s="748"/>
      <c r="Q6" s="748">
        <v>1</v>
      </c>
      <c r="R6" s="120"/>
      <c r="S6" s="24" t="e">
        <f>$J6</f>
        <v>#N/A</v>
      </c>
      <c r="T6" s="24" t="s">
        <v>410</v>
      </c>
      <c r="U6" s="29"/>
      <c r="V6" s="737"/>
      <c r="W6" s="738"/>
      <c r="X6" s="738"/>
      <c r="Y6" s="738"/>
      <c r="Z6" s="738"/>
      <c r="AA6" s="738"/>
      <c r="AB6" s="738"/>
      <c r="AC6" s="738"/>
      <c r="AD6" s="738"/>
      <c r="AE6" s="738"/>
      <c r="AF6" s="739"/>
      <c r="AG6" s="737"/>
      <c r="AH6" s="738"/>
      <c r="AI6" s="738"/>
      <c r="AJ6" s="738"/>
      <c r="AK6" s="738"/>
      <c r="AL6" s="738"/>
      <c r="AM6" s="738"/>
      <c r="AN6" s="738"/>
      <c r="AO6" s="738"/>
      <c r="AP6" s="738"/>
      <c r="AQ6" s="738"/>
      <c r="AR6" s="739"/>
      <c r="AS6" s="445" t="s">
        <v>488</v>
      </c>
      <c r="AV6" s="46" t="str">
        <f t="shared" si="0"/>
        <v>Группа потребителей</v>
      </c>
      <c r="AY6" s="4">
        <v>0</v>
      </c>
    </row>
    <row r="7" spans="5:51" ht="23.25" hidden="1" customHeight="1">
      <c r="E7" s="747"/>
      <c r="F7" s="747"/>
      <c r="G7" s="747"/>
      <c r="H7" s="747"/>
      <c r="I7" s="747"/>
      <c r="J7" s="747"/>
      <c r="K7" s="745" t="e">
        <f>J6&amp;".1"</f>
        <v>#N/A</v>
      </c>
      <c r="P7" s="748"/>
      <c r="Q7" s="748"/>
      <c r="R7" s="120">
        <v>1</v>
      </c>
      <c r="S7" s="24" t="e">
        <f>$K7</f>
        <v>#N/A</v>
      </c>
      <c r="T7" s="25"/>
      <c r="U7" s="29"/>
      <c r="V7" s="168"/>
      <c r="W7" s="168"/>
      <c r="X7" s="168"/>
      <c r="Y7" s="168"/>
      <c r="Z7" s="168"/>
      <c r="AA7" s="168"/>
      <c r="AB7" s="168"/>
      <c r="AC7" s="749"/>
      <c r="AD7" s="688" t="s">
        <v>66</v>
      </c>
      <c r="AE7" s="749"/>
      <c r="AF7" s="688" t="s">
        <v>66</v>
      </c>
      <c r="AG7" s="168"/>
      <c r="AH7" s="168"/>
      <c r="AI7" s="168"/>
      <c r="AJ7" s="168"/>
      <c r="AK7" s="168"/>
      <c r="AL7" s="168"/>
      <c r="AM7" s="168"/>
      <c r="AN7" s="749"/>
      <c r="AO7" s="688" t="s">
        <v>66</v>
      </c>
      <c r="AP7" s="750"/>
      <c r="AQ7" s="688" t="s">
        <v>66</v>
      </c>
      <c r="AR7" s="474"/>
      <c r="AS7" s="79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46" t="e">
        <f ca="1">STRCHECKDATE(V8:AR8)</f>
        <v>#NAME?</v>
      </c>
      <c r="AV7" s="46" t="str">
        <f t="shared" si="0"/>
        <v/>
      </c>
      <c r="AY7" s="4">
        <v>0</v>
      </c>
    </row>
    <row r="8" spans="5:51" ht="14.25" hidden="1" customHeight="1">
      <c r="E8" s="747"/>
      <c r="F8" s="747"/>
      <c r="G8" s="747"/>
      <c r="H8" s="747"/>
      <c r="I8" s="747"/>
      <c r="J8" s="747"/>
      <c r="K8" s="745"/>
      <c r="P8" s="748"/>
      <c r="Q8" s="748"/>
      <c r="R8" s="120"/>
      <c r="S8" s="31"/>
      <c r="T8" s="29"/>
      <c r="U8" s="29"/>
      <c r="V8" s="110"/>
      <c r="W8" s="110"/>
      <c r="X8" s="110"/>
      <c r="Y8" s="110"/>
      <c r="Z8" s="110"/>
      <c r="AA8" s="110"/>
      <c r="AB8" s="110"/>
      <c r="AC8" s="707"/>
      <c r="AD8" s="688"/>
      <c r="AE8" s="707"/>
      <c r="AF8" s="688"/>
      <c r="AG8" s="110"/>
      <c r="AH8" s="110"/>
      <c r="AI8" s="110"/>
      <c r="AJ8" s="110"/>
      <c r="AK8" s="110"/>
      <c r="AL8" s="110"/>
      <c r="AM8" s="110"/>
      <c r="AN8" s="707"/>
      <c r="AO8" s="688"/>
      <c r="AP8" s="751"/>
      <c r="AQ8" s="688"/>
      <c r="AR8" s="216"/>
      <c r="AS8" s="796"/>
      <c r="AV8" s="46" t="str">
        <f t="shared" si="0"/>
        <v/>
      </c>
      <c r="AY8" s="4">
        <v>0</v>
      </c>
    </row>
    <row r="9" spans="5:51" ht="21" hidden="1" customHeight="1">
      <c r="E9" s="747"/>
      <c r="F9" s="747"/>
      <c r="G9" s="747"/>
      <c r="H9" s="747"/>
      <c r="I9" s="747"/>
      <c r="J9" s="745"/>
      <c r="P9" s="748"/>
      <c r="Q9" s="748"/>
      <c r="R9" s="120"/>
      <c r="S9" s="434"/>
      <c r="T9" s="37" t="s">
        <v>489</v>
      </c>
      <c r="U9" s="58"/>
      <c r="V9" s="58"/>
      <c r="W9" s="58"/>
      <c r="X9" s="58"/>
      <c r="Y9" s="58"/>
      <c r="Z9" s="58"/>
      <c r="AA9" s="58"/>
      <c r="AB9" s="58"/>
      <c r="AC9" s="58"/>
      <c r="AD9" s="58"/>
      <c r="AE9" s="58"/>
      <c r="AF9" s="58"/>
      <c r="AG9" s="58"/>
      <c r="AH9" s="58"/>
      <c r="AI9" s="58"/>
      <c r="AJ9" s="58"/>
      <c r="AK9" s="58"/>
      <c r="AL9" s="58"/>
      <c r="AM9" s="58"/>
      <c r="AN9" s="58"/>
      <c r="AO9" s="58"/>
      <c r="AP9" s="58"/>
      <c r="AQ9" s="58"/>
      <c r="AR9" s="58"/>
      <c r="AS9" s="428" t="s">
        <v>490</v>
      </c>
      <c r="AV9" s="46" t="str">
        <f t="shared" si="0"/>
        <v>Добавить значение признака дифференциации</v>
      </c>
      <c r="AY9" s="4">
        <v>0</v>
      </c>
    </row>
    <row r="10" spans="5:51" ht="21" hidden="1" customHeight="1">
      <c r="E10" s="747"/>
      <c r="F10" s="747"/>
      <c r="G10" s="747"/>
      <c r="H10" s="747"/>
      <c r="I10" s="745"/>
      <c r="P10" s="748"/>
      <c r="Q10" s="46"/>
      <c r="R10" s="120"/>
      <c r="S10" s="434"/>
      <c r="T10" s="37" t="s">
        <v>415</v>
      </c>
      <c r="U10" s="58"/>
      <c r="V10" s="58"/>
      <c r="W10" s="58"/>
      <c r="X10" s="58"/>
      <c r="Y10" s="58"/>
      <c r="Z10" s="58"/>
      <c r="AA10" s="58"/>
      <c r="AB10" s="58"/>
      <c r="AC10" s="58"/>
      <c r="AD10" s="58"/>
      <c r="AE10" s="58"/>
      <c r="AF10" s="54"/>
      <c r="AG10" s="58"/>
      <c r="AH10" s="58"/>
      <c r="AI10" s="58"/>
      <c r="AJ10" s="58"/>
      <c r="AK10" s="58"/>
      <c r="AL10" s="58"/>
      <c r="AM10" s="58"/>
      <c r="AN10" s="58"/>
      <c r="AO10" s="58"/>
      <c r="AP10" s="58"/>
      <c r="AQ10" s="54"/>
      <c r="AR10" s="58"/>
      <c r="AS10" s="475"/>
      <c r="AV10" s="46" t="str">
        <f t="shared" si="0"/>
        <v>Добавить группу потребителей</v>
      </c>
      <c r="AY10" s="4">
        <v>0</v>
      </c>
    </row>
    <row r="11" spans="5:51" ht="21" hidden="1" customHeight="1">
      <c r="E11" s="747"/>
      <c r="F11" s="747"/>
      <c r="G11" s="747"/>
      <c r="H11" s="745"/>
      <c r="M11" s="43"/>
      <c r="N11" s="43"/>
      <c r="O11" s="43"/>
      <c r="P11" s="4"/>
      <c r="R11" s="119"/>
      <c r="S11" s="434"/>
      <c r="T11" s="37" t="s">
        <v>491</v>
      </c>
      <c r="U11" s="58"/>
      <c r="V11" s="58"/>
      <c r="W11" s="58"/>
      <c r="X11" s="58"/>
      <c r="Y11" s="58"/>
      <c r="Z11" s="58"/>
      <c r="AA11" s="58"/>
      <c r="AB11" s="58"/>
      <c r="AC11" s="58"/>
      <c r="AD11" s="58"/>
      <c r="AE11" s="58"/>
      <c r="AF11" s="54"/>
      <c r="AG11" s="58"/>
      <c r="AH11" s="58"/>
      <c r="AI11" s="58"/>
      <c r="AJ11" s="58"/>
      <c r="AK11" s="58"/>
      <c r="AL11" s="58"/>
      <c r="AM11" s="58"/>
      <c r="AN11" s="58"/>
      <c r="AO11" s="58"/>
      <c r="AP11" s="58"/>
      <c r="AQ11" s="54"/>
      <c r="AR11" s="58"/>
      <c r="AS11" s="102"/>
      <c r="AV11" s="46" t="str">
        <f t="shared" si="0"/>
        <v>Добавить наименование признака дифференциации</v>
      </c>
      <c r="AY11" s="4">
        <v>0</v>
      </c>
    </row>
    <row r="12" spans="5:51" s="46" customFormat="1" ht="14.25" hidden="1" customHeight="1">
      <c r="E12" s="747"/>
      <c r="F12" s="745"/>
      <c r="M12" s="160"/>
      <c r="N12" s="160"/>
      <c r="Q12" s="446"/>
      <c r="S12" s="449"/>
      <c r="T12" s="160" t="s">
        <v>418</v>
      </c>
      <c r="U12" s="160"/>
      <c r="V12" s="160"/>
      <c r="W12" s="160"/>
      <c r="X12" s="160"/>
      <c r="Y12" s="160"/>
      <c r="Z12" s="160"/>
      <c r="AA12" s="160"/>
      <c r="AB12" s="160"/>
      <c r="AC12" s="160"/>
      <c r="AD12" s="160"/>
      <c r="AE12" s="160"/>
      <c r="AF12" s="160"/>
      <c r="AG12" s="160"/>
      <c r="AH12" s="160"/>
      <c r="AI12" s="160"/>
      <c r="AJ12" s="160"/>
      <c r="AK12" s="160"/>
      <c r="AL12" s="160"/>
      <c r="AM12" s="160"/>
      <c r="AN12" s="160"/>
      <c r="AO12" s="160"/>
      <c r="AP12" s="160"/>
      <c r="AQ12" s="160"/>
      <c r="AR12" s="160"/>
      <c r="AS12" s="160"/>
      <c r="AV12" s="46" t="str">
        <f t="shared" si="0"/>
        <v>Добавить централизованную систему для дифференциации</v>
      </c>
      <c r="AY12" s="46">
        <v>0</v>
      </c>
    </row>
    <row r="13" spans="5:51" s="46" customFormat="1" ht="14.25" hidden="1" customHeight="1">
      <c r="E13" s="745"/>
      <c r="M13" s="160"/>
      <c r="N13" s="160"/>
      <c r="Q13" s="446"/>
      <c r="S13" s="449"/>
      <c r="T13" s="160" t="s">
        <v>419</v>
      </c>
      <c r="U13" s="160"/>
      <c r="V13" s="160"/>
      <c r="W13" s="160"/>
      <c r="X13" s="160"/>
      <c r="Y13" s="160"/>
      <c r="Z13" s="160"/>
      <c r="AA13" s="160"/>
      <c r="AB13" s="160"/>
      <c r="AC13" s="160"/>
      <c r="AD13" s="160"/>
      <c r="AE13" s="160"/>
      <c r="AF13" s="160"/>
      <c r="AG13" s="160"/>
      <c r="AH13" s="160"/>
      <c r="AI13" s="160"/>
      <c r="AJ13" s="160"/>
      <c r="AK13" s="160"/>
      <c r="AL13" s="160"/>
      <c r="AM13" s="160"/>
      <c r="AN13" s="160"/>
      <c r="AO13" s="160"/>
      <c r="AP13" s="160"/>
      <c r="AQ13" s="160"/>
      <c r="AR13" s="160"/>
      <c r="AS13" s="160"/>
      <c r="AV13" s="46" t="str">
        <f t="shared" si="0"/>
        <v>Добавить территорию для дифференциации</v>
      </c>
      <c r="AY13" s="46">
        <v>0</v>
      </c>
    </row>
    <row r="14" spans="5:51" ht="14.25" hidden="1" customHeight="1">
      <c r="AY14" s="4">
        <v>0</v>
      </c>
    </row>
    <row r="15" spans="5:51" ht="14.25" hidden="1" customHeight="1">
      <c r="AG15" s="205"/>
      <c r="AH15" s="205"/>
      <c r="AI15" s="205"/>
      <c r="AJ15" s="205"/>
      <c r="AK15" s="205"/>
      <c r="AL15" s="205"/>
      <c r="AM15" s="205"/>
      <c r="AN15" s="746"/>
      <c r="AO15" s="745" t="s">
        <v>66</v>
      </c>
      <c r="AP15" s="746"/>
      <c r="AQ15" s="745" t="s">
        <v>66</v>
      </c>
      <c r="AY15" s="4">
        <v>0</v>
      </c>
    </row>
    <row r="16" spans="5:51" ht="14.25" hidden="1" customHeight="1">
      <c r="AG16" s="205"/>
      <c r="AH16" s="205"/>
      <c r="AI16" s="205"/>
      <c r="AJ16" s="205"/>
      <c r="AK16" s="205"/>
      <c r="AL16" s="205"/>
      <c r="AM16" s="205"/>
      <c r="AN16" s="745"/>
      <c r="AO16" s="745"/>
      <c r="AP16" s="745"/>
      <c r="AQ16" s="745"/>
      <c r="AY16" s="4">
        <v>0</v>
      </c>
    </row>
    <row r="17" spans="1:51" ht="14.25" hidden="1" customHeight="1">
      <c r="AY17" s="4">
        <v>0</v>
      </c>
    </row>
    <row r="18" spans="1:51" s="43" customFormat="1" ht="22.5" hidden="1" customHeight="1">
      <c r="M18" s="167"/>
      <c r="N18" s="167"/>
      <c r="O18" s="261" t="s">
        <v>420</v>
      </c>
      <c r="P18" s="167"/>
      <c r="Q18" s="452"/>
      <c r="R18" s="452"/>
      <c r="AC18" s="261"/>
      <c r="AE18" s="261"/>
      <c r="AN18" s="261"/>
      <c r="AP18" s="261"/>
      <c r="AT18" s="46"/>
      <c r="AU18" s="46"/>
      <c r="AV18" s="46"/>
      <c r="AW18" s="46"/>
      <c r="AX18" s="46"/>
      <c r="AY18" s="43">
        <v>0</v>
      </c>
    </row>
    <row r="19" spans="1:51" s="43" customFormat="1" ht="14.25" hidden="1" customHeight="1">
      <c r="M19" s="167"/>
      <c r="N19" s="167"/>
      <c r="O19" s="167"/>
      <c r="P19" s="167"/>
      <c r="Q19" s="452"/>
      <c r="R19" s="452"/>
      <c r="AT19" s="46"/>
      <c r="AU19" s="46"/>
      <c r="AV19" s="46"/>
      <c r="AW19" s="46"/>
      <c r="AX19" s="46"/>
      <c r="AY19" s="43">
        <v>0</v>
      </c>
    </row>
    <row r="20" spans="1:51" s="43" customFormat="1" ht="12" hidden="1" customHeight="1">
      <c r="M20" s="167"/>
      <c r="N20" s="167"/>
      <c r="O20" s="43" t="s">
        <v>421</v>
      </c>
      <c r="P20" s="167"/>
      <c r="Q20" s="476"/>
      <c r="R20" s="476"/>
      <c r="T20" s="43" t="s">
        <v>422</v>
      </c>
      <c r="AD20" s="43" t="s">
        <v>423</v>
      </c>
      <c r="AF20" s="43" t="s">
        <v>424</v>
      </c>
      <c r="AG20" s="43" t="s">
        <v>422</v>
      </c>
      <c r="AO20" s="43" t="s">
        <v>425</v>
      </c>
      <c r="AQ20" s="43" t="s">
        <v>424</v>
      </c>
      <c r="AY20" s="43">
        <v>0</v>
      </c>
    </row>
    <row r="21" spans="1:51" ht="14.25" hidden="1" customHeight="1">
      <c r="O21" s="43"/>
      <c r="AY21" s="4">
        <v>0</v>
      </c>
    </row>
    <row r="22" spans="1:51" ht="14.25" hidden="1" customHeight="1">
      <c r="O22" s="43"/>
      <c r="AY22" s="4">
        <v>0</v>
      </c>
    </row>
    <row r="23" spans="1:51" ht="14.65" customHeight="1">
      <c r="Q23" s="19"/>
      <c r="R23" s="19"/>
      <c r="S23" s="6"/>
      <c r="T23" s="6"/>
      <c r="U23" s="6"/>
      <c r="AY23" s="4">
        <v>14</v>
      </c>
    </row>
    <row r="24" spans="1:51" ht="26.25" customHeight="1">
      <c r="Q24" s="19"/>
      <c r="R24" s="19"/>
      <c r="S24" s="697"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697"/>
      <c r="U24" s="697"/>
      <c r="V24" s="697"/>
      <c r="W24" s="697"/>
      <c r="X24" s="697"/>
      <c r="Y24" s="697"/>
      <c r="Z24" s="697"/>
      <c r="AA24" s="697"/>
      <c r="AB24" s="697"/>
      <c r="AC24" s="697"/>
      <c r="AD24" s="697"/>
      <c r="AE24" s="697"/>
      <c r="AF24" s="697"/>
      <c r="AG24" s="697"/>
      <c r="AH24" s="697"/>
      <c r="AI24" s="697"/>
      <c r="AJ24" s="697"/>
      <c r="AK24" s="697"/>
      <c r="AL24" s="697"/>
      <c r="AM24" s="697"/>
      <c r="AN24" s="697"/>
      <c r="AO24" s="697"/>
      <c r="AP24" s="697"/>
      <c r="AQ24" s="40"/>
      <c r="AY24" s="4">
        <v>25</v>
      </c>
    </row>
    <row r="25" spans="1:51" ht="14.65" customHeight="1">
      <c r="Q25" s="19"/>
      <c r="R25" s="19"/>
      <c r="S25" s="712" t="str">
        <f>IF(org=0,"Не определено",org)</f>
        <v>ООО "Восточная Тепловая компания"</v>
      </c>
      <c r="T25" s="712"/>
      <c r="U25" s="712"/>
      <c r="V25" s="712"/>
      <c r="W25" s="712"/>
      <c r="X25" s="712"/>
      <c r="Y25" s="712"/>
      <c r="Z25" s="712"/>
      <c r="AA25" s="712"/>
      <c r="AB25" s="712"/>
      <c r="AC25" s="712"/>
      <c r="AD25" s="712"/>
      <c r="AE25" s="712"/>
      <c r="AF25" s="712"/>
      <c r="AG25" s="712"/>
      <c r="AH25" s="712"/>
      <c r="AI25" s="712"/>
      <c r="AJ25" s="712"/>
      <c r="AK25" s="712"/>
      <c r="AL25" s="712"/>
      <c r="AM25" s="712"/>
      <c r="AN25" s="712"/>
      <c r="AO25" s="712"/>
      <c r="AP25" s="712"/>
      <c r="AQ25" s="40"/>
      <c r="AY25" s="4">
        <v>14</v>
      </c>
    </row>
    <row r="26" spans="1:51" ht="14.25" hidden="1" customHeight="1">
      <c r="Q26" s="19"/>
      <c r="R26" s="19"/>
      <c r="S26" s="6"/>
      <c r="T26" s="6"/>
      <c r="U26" s="6"/>
      <c r="V26" s="109"/>
      <c r="W26" s="109"/>
      <c r="X26" s="109"/>
      <c r="Y26" s="109"/>
      <c r="Z26" s="109"/>
      <c r="AA26" s="109"/>
      <c r="AB26" s="109"/>
      <c r="AC26" s="109"/>
      <c r="AD26" s="109"/>
      <c r="AE26" s="109"/>
      <c r="AF26" s="109"/>
      <c r="AG26" s="109"/>
      <c r="AH26" s="109"/>
      <c r="AI26" s="109"/>
      <c r="AJ26" s="109"/>
      <c r="AK26" s="109"/>
      <c r="AL26" s="109"/>
      <c r="AM26" s="109"/>
      <c r="AN26" s="109"/>
      <c r="AO26" s="109"/>
      <c r="AP26" s="109"/>
      <c r="AQ26" s="109"/>
      <c r="AY26" s="4">
        <v>0</v>
      </c>
    </row>
    <row r="27" spans="1:51" s="22" customFormat="1" ht="25.5" hidden="1" customHeight="1">
      <c r="A27" s="43"/>
      <c r="B27" s="43"/>
      <c r="C27" s="43"/>
      <c r="D27" s="43"/>
      <c r="E27" s="43"/>
      <c r="F27" s="43"/>
      <c r="G27" s="43"/>
      <c r="H27" s="43"/>
      <c r="I27" s="43"/>
      <c r="J27" s="43"/>
      <c r="K27" s="43"/>
      <c r="L27" s="43"/>
      <c r="M27" s="43"/>
      <c r="N27" s="43"/>
      <c r="O27" s="43"/>
      <c r="S27" s="721" t="s">
        <v>42</v>
      </c>
      <c r="T27" s="721"/>
      <c r="U27" s="453"/>
      <c r="V27" s="741" t="str">
        <f>IF(TITLE_NAME_OR_PR_CHANGE="",IF(TITLE_NAME_OR_PR="","",TITLE_NAME_OR_PR),TITLE_NAME_OR_PR_CHANGE)</f>
        <v/>
      </c>
      <c r="W27" s="741"/>
      <c r="X27" s="741"/>
      <c r="Y27" s="741"/>
      <c r="Z27" s="741"/>
      <c r="AA27" s="741"/>
      <c r="AB27" s="741"/>
      <c r="AC27" s="741"/>
      <c r="AD27" s="741"/>
      <c r="AE27" s="741"/>
      <c r="AF27" s="4"/>
      <c r="AG27" s="741" t="str">
        <f>IF(TITLE_NAME_OR_PR_CHANGE="",IF(TITLE_NAME_OR_PR="","",TITLE_NAME_OR_PR),TITLE_NAME_OR_PR_CHANGE)</f>
        <v/>
      </c>
      <c r="AH27" s="741"/>
      <c r="AI27" s="741"/>
      <c r="AJ27" s="741"/>
      <c r="AK27" s="741"/>
      <c r="AL27" s="741"/>
      <c r="AM27" s="741"/>
      <c r="AN27" s="741"/>
      <c r="AO27" s="741"/>
      <c r="AP27" s="741"/>
      <c r="AQ27" s="4"/>
      <c r="AR27" s="4"/>
      <c r="AS27" s="96"/>
      <c r="AT27" s="46"/>
      <c r="AU27" s="46"/>
      <c r="AV27" s="46"/>
      <c r="AW27" s="46"/>
      <c r="AX27" s="46"/>
      <c r="AY27" s="22">
        <v>0</v>
      </c>
    </row>
    <row r="28" spans="1:51" s="22" customFormat="1" ht="18.75" hidden="1" customHeight="1">
      <c r="A28" s="43"/>
      <c r="B28" s="43"/>
      <c r="C28" s="43"/>
      <c r="D28" s="43"/>
      <c r="E28" s="43"/>
      <c r="F28" s="43"/>
      <c r="G28" s="43"/>
      <c r="H28" s="43"/>
      <c r="I28" s="43"/>
      <c r="J28" s="43"/>
      <c r="K28" s="43"/>
      <c r="L28" s="43"/>
      <c r="M28" s="43"/>
      <c r="N28" s="43"/>
      <c r="O28" s="43"/>
      <c r="S28" s="721" t="s">
        <v>426</v>
      </c>
      <c r="T28" s="721"/>
      <c r="U28" s="453"/>
      <c r="V28" s="740" t="str">
        <f>IF(TITLE_DATE_PR_CHANGE="",IF(TITLE_DATE_PR="","",TITLE_DATE_PR),TITLE_DATE_PR_CHANGE)</f>
        <v/>
      </c>
      <c r="W28" s="740"/>
      <c r="X28" s="740"/>
      <c r="Y28" s="740"/>
      <c r="Z28" s="740"/>
      <c r="AA28" s="740"/>
      <c r="AB28" s="740"/>
      <c r="AC28" s="740"/>
      <c r="AD28" s="740"/>
      <c r="AE28" s="740"/>
      <c r="AF28" s="4"/>
      <c r="AG28" s="740" t="str">
        <f>IF(TITLE_DATE_PR_CHANGE="",IF(TITLE_DATE_PR="","",TITLE_DATE_PR),TITLE_DATE_PR_CHANGE)</f>
        <v/>
      </c>
      <c r="AH28" s="740"/>
      <c r="AI28" s="740"/>
      <c r="AJ28" s="740"/>
      <c r="AK28" s="740"/>
      <c r="AL28" s="740"/>
      <c r="AM28" s="740"/>
      <c r="AN28" s="740"/>
      <c r="AO28" s="740"/>
      <c r="AP28" s="740"/>
      <c r="AQ28" s="4"/>
      <c r="AR28" s="4"/>
      <c r="AS28" s="96"/>
      <c r="AT28" s="46"/>
      <c r="AU28" s="46"/>
      <c r="AV28" s="46"/>
      <c r="AW28" s="46"/>
      <c r="AX28" s="46"/>
      <c r="AY28" s="22">
        <v>0</v>
      </c>
    </row>
    <row r="29" spans="1:51" s="22" customFormat="1" ht="18.75" hidden="1" customHeight="1">
      <c r="A29" s="43"/>
      <c r="B29" s="43"/>
      <c r="C29" s="43"/>
      <c r="D29" s="43"/>
      <c r="E29" s="43"/>
      <c r="F29" s="43"/>
      <c r="G29" s="43"/>
      <c r="H29" s="43"/>
      <c r="I29" s="43"/>
      <c r="J29" s="43"/>
      <c r="K29" s="43"/>
      <c r="L29" s="43"/>
      <c r="M29" s="43"/>
      <c r="N29" s="43"/>
      <c r="O29" s="43"/>
      <c r="S29" s="721" t="s">
        <v>427</v>
      </c>
      <c r="T29" s="721"/>
      <c r="U29" s="453"/>
      <c r="V29" s="741" t="str">
        <f>IF(TITLE_NUMBER_PR_CHANGE="",IF(TITLE_NUMBER_PR="","",TITLE_NUMBER_PR),TITLE_NUMBER_PR_CHANGE)</f>
        <v/>
      </c>
      <c r="W29" s="741"/>
      <c r="X29" s="741"/>
      <c r="Y29" s="741"/>
      <c r="Z29" s="741"/>
      <c r="AA29" s="741"/>
      <c r="AB29" s="741"/>
      <c r="AC29" s="741"/>
      <c r="AD29" s="741"/>
      <c r="AE29" s="741"/>
      <c r="AF29" s="4"/>
      <c r="AG29" s="741" t="str">
        <f>IF(TITLE_NUMBER_PR_CHANGE="",IF(TITLE_NUMBER_PR="","",TITLE_NUMBER_PR),TITLE_NUMBER_PR_CHANGE)</f>
        <v/>
      </c>
      <c r="AH29" s="741"/>
      <c r="AI29" s="741"/>
      <c r="AJ29" s="741"/>
      <c r="AK29" s="741"/>
      <c r="AL29" s="741"/>
      <c r="AM29" s="741"/>
      <c r="AN29" s="741"/>
      <c r="AO29" s="741"/>
      <c r="AP29" s="741"/>
      <c r="AQ29" s="4"/>
      <c r="AR29" s="4"/>
      <c r="AS29" s="96"/>
      <c r="AT29" s="46"/>
      <c r="AU29" s="46"/>
      <c r="AV29" s="46"/>
      <c r="AW29" s="46"/>
      <c r="AX29" s="46"/>
      <c r="AY29" s="22">
        <v>0</v>
      </c>
    </row>
    <row r="30" spans="1:51" s="22" customFormat="1" ht="18.75" hidden="1" customHeight="1">
      <c r="A30" s="43"/>
      <c r="B30" s="43"/>
      <c r="C30" s="43"/>
      <c r="D30" s="43"/>
      <c r="E30" s="43"/>
      <c r="F30" s="43"/>
      <c r="G30" s="43"/>
      <c r="H30" s="43"/>
      <c r="I30" s="43"/>
      <c r="J30" s="43"/>
      <c r="K30" s="43"/>
      <c r="L30" s="43"/>
      <c r="M30" s="43"/>
      <c r="N30" s="43"/>
      <c r="O30" s="43"/>
      <c r="S30" s="721" t="s">
        <v>43</v>
      </c>
      <c r="T30" s="721"/>
      <c r="U30" s="453"/>
      <c r="V30" s="741" t="str">
        <f>IF(TITLE_IST_PUB_CHANGE="",IF(TITLE_IST_PUB="","",TITLE_IST_PUB),TITLE_IST_PUB_CHANGE)</f>
        <v/>
      </c>
      <c r="W30" s="741"/>
      <c r="X30" s="741"/>
      <c r="Y30" s="741"/>
      <c r="Z30" s="741"/>
      <c r="AA30" s="741"/>
      <c r="AB30" s="741"/>
      <c r="AC30" s="741"/>
      <c r="AD30" s="741"/>
      <c r="AE30" s="741"/>
      <c r="AF30" s="4"/>
      <c r="AG30" s="741" t="str">
        <f>IF(TITLE_IST_PUB_CHANGE="",IF(TITLE_IST_PUB="","",TITLE_IST_PUB),TITLE_IST_PUB_CHANGE)</f>
        <v/>
      </c>
      <c r="AH30" s="741"/>
      <c r="AI30" s="741"/>
      <c r="AJ30" s="741"/>
      <c r="AK30" s="741"/>
      <c r="AL30" s="741"/>
      <c r="AM30" s="741"/>
      <c r="AN30" s="741"/>
      <c r="AO30" s="741"/>
      <c r="AP30" s="741"/>
      <c r="AQ30" s="4"/>
      <c r="AR30" s="4"/>
      <c r="AS30" s="96"/>
      <c r="AT30" s="46"/>
      <c r="AU30" s="46"/>
      <c r="AV30" s="46"/>
      <c r="AW30" s="46"/>
      <c r="AX30" s="46"/>
      <c r="AY30" s="22">
        <v>0</v>
      </c>
    </row>
    <row r="31" spans="1:51" ht="14.25" hidden="1" customHeight="1">
      <c r="Q31" s="19"/>
      <c r="R31" s="19"/>
      <c r="S31" s="6"/>
      <c r="T31" s="6"/>
      <c r="U31" s="6"/>
      <c r="V31" s="109"/>
      <c r="W31" s="109"/>
      <c r="X31" s="109"/>
      <c r="Y31" s="109"/>
      <c r="Z31" s="109"/>
      <c r="AA31" s="109"/>
      <c r="AB31" s="109"/>
      <c r="AC31" s="109"/>
      <c r="AD31" s="109"/>
      <c r="AE31" s="109"/>
      <c r="AF31" s="109"/>
      <c r="AG31" s="109"/>
      <c r="AH31" s="109"/>
      <c r="AI31" s="109"/>
      <c r="AJ31" s="109"/>
      <c r="AK31" s="109"/>
      <c r="AL31" s="109"/>
      <c r="AM31" s="109"/>
      <c r="AN31" s="109"/>
      <c r="AO31" s="109"/>
      <c r="AP31" s="109"/>
      <c r="AQ31" s="109"/>
      <c r="AY31" s="4">
        <v>0</v>
      </c>
    </row>
    <row r="32" spans="1:51" s="22" customFormat="1" ht="18.75" hidden="1" customHeight="1">
      <c r="A32" s="43"/>
      <c r="B32" s="43"/>
      <c r="C32" s="43"/>
      <c r="D32" s="43"/>
      <c r="E32" s="43"/>
      <c r="F32" s="43"/>
      <c r="G32" s="43"/>
      <c r="H32" s="43"/>
      <c r="I32" s="43"/>
      <c r="J32" s="43"/>
      <c r="K32" s="43"/>
      <c r="L32" s="43"/>
      <c r="M32" s="43"/>
      <c r="N32" s="43"/>
      <c r="O32" s="43"/>
      <c r="S32" s="721" t="s">
        <v>428</v>
      </c>
      <c r="T32" s="721"/>
      <c r="U32" s="453"/>
      <c r="V32" s="740" t="str">
        <f>IF(TITLE_DATE_PR_CHANGE="",IF(TITLE_DATE_PR="","",TITLE_DATE_PR),TITLE_DATE_PR_CHANGE)</f>
        <v/>
      </c>
      <c r="W32" s="740"/>
      <c r="X32" s="740"/>
      <c r="Y32" s="740"/>
      <c r="Z32" s="740"/>
      <c r="AA32" s="740"/>
      <c r="AB32" s="740"/>
      <c r="AC32" s="740"/>
      <c r="AD32" s="740"/>
      <c r="AE32" s="740"/>
      <c r="AF32" s="4"/>
      <c r="AG32" s="740" t="str">
        <f>IF(TITLE_DATE_PR_CHANGE="",IF(TITLE_DATE_PR="","",TITLE_DATE_PR),TITLE_DATE_PR_CHANGE)</f>
        <v/>
      </c>
      <c r="AH32" s="740"/>
      <c r="AI32" s="740"/>
      <c r="AJ32" s="740"/>
      <c r="AK32" s="740"/>
      <c r="AL32" s="740"/>
      <c r="AM32" s="740"/>
      <c r="AN32" s="740"/>
      <c r="AO32" s="740"/>
      <c r="AP32" s="740"/>
      <c r="AQ32" s="4"/>
      <c r="AR32" s="4"/>
      <c r="AS32" s="96"/>
      <c r="AT32" s="46"/>
      <c r="AU32" s="46"/>
      <c r="AV32" s="46"/>
      <c r="AW32" s="46"/>
      <c r="AX32" s="46"/>
      <c r="AY32" s="22">
        <v>0</v>
      </c>
    </row>
    <row r="33" spans="1:51" s="22" customFormat="1" ht="18.75" hidden="1" customHeight="1">
      <c r="A33" s="43"/>
      <c r="B33" s="43"/>
      <c r="C33" s="43"/>
      <c r="D33" s="43"/>
      <c r="E33" s="43"/>
      <c r="F33" s="43"/>
      <c r="G33" s="43"/>
      <c r="H33" s="43"/>
      <c r="I33" s="43"/>
      <c r="J33" s="43"/>
      <c r="K33" s="43"/>
      <c r="L33" s="43"/>
      <c r="M33" s="43"/>
      <c r="N33" s="43"/>
      <c r="O33" s="43"/>
      <c r="S33" s="721" t="s">
        <v>429</v>
      </c>
      <c r="T33" s="721"/>
      <c r="U33" s="453"/>
      <c r="V33" s="741" t="str">
        <f>IF(TITLE_NUMBER_PR_CHANGE="",IF(TITLE_NUMBER_PR="","",TITLE_NUMBER_PR),TITLE_NUMBER_PR_CHANGE)</f>
        <v/>
      </c>
      <c r="W33" s="741"/>
      <c r="X33" s="741"/>
      <c r="Y33" s="741"/>
      <c r="Z33" s="741"/>
      <c r="AA33" s="741"/>
      <c r="AB33" s="741"/>
      <c r="AC33" s="741"/>
      <c r="AD33" s="741"/>
      <c r="AE33" s="741"/>
      <c r="AF33" s="4"/>
      <c r="AG33" s="741" t="str">
        <f>IF(TITLE_NUMBER_PR_CHANGE="",IF(TITLE_NUMBER_PR="","",TITLE_NUMBER_PR),TITLE_NUMBER_PR_CHANGE)</f>
        <v/>
      </c>
      <c r="AH33" s="741"/>
      <c r="AI33" s="741"/>
      <c r="AJ33" s="741"/>
      <c r="AK33" s="741"/>
      <c r="AL33" s="741"/>
      <c r="AM33" s="741"/>
      <c r="AN33" s="741"/>
      <c r="AO33" s="741"/>
      <c r="AP33" s="741"/>
      <c r="AQ33" s="4"/>
      <c r="AR33" s="4"/>
      <c r="AS33" s="96"/>
      <c r="AT33" s="46"/>
      <c r="AU33" s="46"/>
      <c r="AV33" s="46"/>
      <c r="AW33" s="46"/>
      <c r="AX33" s="46"/>
      <c r="AY33" s="22">
        <v>0</v>
      </c>
    </row>
    <row r="34" spans="1:51" s="22" customFormat="1" ht="1.1499999999999999" customHeight="1">
      <c r="A34" s="43"/>
      <c r="B34" s="43"/>
      <c r="C34" s="43"/>
      <c r="D34" s="43"/>
      <c r="E34" s="43"/>
      <c r="F34" s="43"/>
      <c r="G34" s="43"/>
      <c r="H34" s="43"/>
      <c r="I34" s="43"/>
      <c r="J34" s="43"/>
      <c r="K34" s="43"/>
      <c r="L34" s="43"/>
      <c r="M34" s="43"/>
      <c r="N34" s="43"/>
      <c r="O34" s="43"/>
      <c r="S34" s="4"/>
      <c r="T34" s="4"/>
      <c r="U34" s="4"/>
      <c r="V34" s="4"/>
      <c r="W34" s="4"/>
      <c r="X34" s="4"/>
      <c r="Y34" s="4"/>
      <c r="Z34" s="4"/>
      <c r="AA34" s="4"/>
      <c r="AB34" s="4"/>
      <c r="AC34" s="4"/>
      <c r="AD34" s="4"/>
      <c r="AE34" s="4"/>
      <c r="AF34" s="46" t="s">
        <v>430</v>
      </c>
      <c r="AG34" s="4"/>
      <c r="AH34" s="4"/>
      <c r="AI34" s="4"/>
      <c r="AJ34" s="4"/>
      <c r="AK34" s="4"/>
      <c r="AL34" s="4"/>
      <c r="AM34" s="4"/>
      <c r="AN34" s="4"/>
      <c r="AO34" s="4"/>
      <c r="AP34" s="4"/>
      <c r="AQ34" s="46" t="s">
        <v>430</v>
      </c>
      <c r="AT34" s="46"/>
      <c r="AU34" s="46"/>
      <c r="AV34" s="46"/>
      <c r="AW34" s="46"/>
      <c r="AX34" s="46"/>
      <c r="AY34" s="22">
        <v>1</v>
      </c>
    </row>
    <row r="35" spans="1:51" ht="14.65" customHeight="1">
      <c r="Q35" s="19"/>
      <c r="R35" s="19"/>
      <c r="S35" s="6"/>
      <c r="T35" s="6"/>
      <c r="U35" s="420"/>
      <c r="V35" s="755"/>
      <c r="W35" s="755"/>
      <c r="X35" s="755"/>
      <c r="Y35" s="755"/>
      <c r="Z35" s="755"/>
      <c r="AA35" s="755"/>
      <c r="AB35" s="755"/>
      <c r="AC35" s="755"/>
      <c r="AD35" s="755"/>
      <c r="AE35" s="755"/>
      <c r="AF35" s="755"/>
      <c r="AG35" s="755"/>
      <c r="AH35" s="755"/>
      <c r="AI35" s="755"/>
      <c r="AJ35" s="755"/>
      <c r="AK35" s="755"/>
      <c r="AL35" s="755"/>
      <c r="AM35" s="755"/>
      <c r="AN35" s="755"/>
      <c r="AO35" s="755"/>
      <c r="AP35" s="755"/>
      <c r="AQ35" s="755"/>
      <c r="AY35" s="4">
        <v>14</v>
      </c>
    </row>
    <row r="36" spans="1:51" ht="14.65" customHeight="1">
      <c r="Q36" s="19"/>
      <c r="R36" s="19"/>
      <c r="S36" s="679" t="s">
        <v>303</v>
      </c>
      <c r="T36" s="679"/>
      <c r="U36" s="679"/>
      <c r="V36" s="679"/>
      <c r="W36" s="679"/>
      <c r="X36" s="679"/>
      <c r="Y36" s="679"/>
      <c r="Z36" s="679"/>
      <c r="AA36" s="679"/>
      <c r="AB36" s="679"/>
      <c r="AC36" s="679"/>
      <c r="AD36" s="679"/>
      <c r="AE36" s="679"/>
      <c r="AF36" s="679"/>
      <c r="AG36" s="679"/>
      <c r="AH36" s="679"/>
      <c r="AI36" s="679"/>
      <c r="AJ36" s="679"/>
      <c r="AK36" s="679"/>
      <c r="AL36" s="679"/>
      <c r="AM36" s="679"/>
      <c r="AN36" s="679"/>
      <c r="AO36" s="679"/>
      <c r="AP36" s="679"/>
      <c r="AQ36" s="679"/>
      <c r="AR36" s="679"/>
      <c r="AS36" s="679" t="s">
        <v>304</v>
      </c>
      <c r="AY36" s="4">
        <v>14</v>
      </c>
    </row>
    <row r="37" spans="1:51" ht="14.65" customHeight="1">
      <c r="Q37" s="19"/>
      <c r="R37" s="19"/>
      <c r="S37" s="722" t="s">
        <v>88</v>
      </c>
      <c r="T37" s="722" t="s">
        <v>431</v>
      </c>
      <c r="U37" s="100"/>
      <c r="V37" s="756" t="s">
        <v>432</v>
      </c>
      <c r="W37" s="767"/>
      <c r="X37" s="767"/>
      <c r="Y37" s="767"/>
      <c r="Z37" s="767"/>
      <c r="AA37" s="767"/>
      <c r="AB37" s="767"/>
      <c r="AC37" s="757"/>
      <c r="AD37" s="757"/>
      <c r="AE37" s="758"/>
      <c r="AF37" s="724" t="s">
        <v>433</v>
      </c>
      <c r="AG37" s="756" t="s">
        <v>432</v>
      </c>
      <c r="AH37" s="757"/>
      <c r="AI37" s="757"/>
      <c r="AJ37" s="757"/>
      <c r="AK37" s="757"/>
      <c r="AL37" s="757"/>
      <c r="AM37" s="757"/>
      <c r="AN37" s="757"/>
      <c r="AO37" s="757"/>
      <c r="AP37" s="758"/>
      <c r="AQ37" s="724" t="s">
        <v>434</v>
      </c>
      <c r="AR37" s="759" t="s">
        <v>435</v>
      </c>
      <c r="AS37" s="679"/>
      <c r="AY37" s="4">
        <v>14</v>
      </c>
    </row>
    <row r="38" spans="1:51" ht="19.899999999999999" customHeight="1">
      <c r="Q38" s="19"/>
      <c r="R38" s="19"/>
      <c r="S38" s="722"/>
      <c r="T38" s="722"/>
      <c r="U38" s="349"/>
      <c r="V38" s="679" t="s">
        <v>535</v>
      </c>
      <c r="W38" s="804" t="s">
        <v>536</v>
      </c>
      <c r="X38" s="804"/>
      <c r="Y38" s="804"/>
      <c r="Z38" s="804" t="s">
        <v>537</v>
      </c>
      <c r="AA38" s="804"/>
      <c r="AB38" s="804"/>
      <c r="AC38" s="674" t="s">
        <v>439</v>
      </c>
      <c r="AD38" s="697"/>
      <c r="AE38" s="672"/>
      <c r="AF38" s="725"/>
      <c r="AG38" s="679" t="s">
        <v>535</v>
      </c>
      <c r="AH38" s="804" t="s">
        <v>536</v>
      </c>
      <c r="AI38" s="804"/>
      <c r="AJ38" s="804"/>
      <c r="AK38" s="804" t="s">
        <v>537</v>
      </c>
      <c r="AL38" s="804"/>
      <c r="AM38" s="804"/>
      <c r="AN38" s="674" t="s">
        <v>439</v>
      </c>
      <c r="AO38" s="697"/>
      <c r="AP38" s="672"/>
      <c r="AQ38" s="725"/>
      <c r="AR38" s="760"/>
      <c r="AS38" s="679"/>
      <c r="AY38" s="4">
        <v>19</v>
      </c>
    </row>
    <row r="39" spans="1:51" s="4" customFormat="1" ht="19.899999999999999" customHeight="1">
      <c r="A39" s="43"/>
      <c r="B39" s="43"/>
      <c r="C39" s="43"/>
      <c r="D39" s="43"/>
      <c r="E39" s="43"/>
      <c r="F39" s="43"/>
      <c r="G39" s="43"/>
      <c r="H39" s="43"/>
      <c r="I39" s="43"/>
      <c r="J39" s="43"/>
      <c r="K39" s="43"/>
      <c r="L39" s="43"/>
      <c r="M39" s="167"/>
      <c r="N39" s="167"/>
      <c r="O39" s="167"/>
      <c r="P39" s="23"/>
      <c r="Q39" s="19"/>
      <c r="R39" s="19"/>
      <c r="S39" s="722"/>
      <c r="T39" s="722"/>
      <c r="U39" s="349"/>
      <c r="V39" s="679"/>
      <c r="W39" s="804" t="s">
        <v>538</v>
      </c>
      <c r="X39" s="804" t="s">
        <v>539</v>
      </c>
      <c r="Y39" s="804"/>
      <c r="Z39" s="804" t="s">
        <v>540</v>
      </c>
      <c r="AA39" s="804" t="s">
        <v>539</v>
      </c>
      <c r="AB39" s="804"/>
      <c r="AC39" s="677"/>
      <c r="AD39" s="712"/>
      <c r="AE39" s="675"/>
      <c r="AF39" s="725"/>
      <c r="AG39" s="679"/>
      <c r="AH39" s="804" t="s">
        <v>538</v>
      </c>
      <c r="AI39" s="804" t="s">
        <v>539</v>
      </c>
      <c r="AJ39" s="804"/>
      <c r="AK39" s="804" t="s">
        <v>540</v>
      </c>
      <c r="AL39" s="804" t="s">
        <v>539</v>
      </c>
      <c r="AM39" s="804"/>
      <c r="AN39" s="677"/>
      <c r="AO39" s="712"/>
      <c r="AP39" s="675"/>
      <c r="AQ39" s="725"/>
      <c r="AR39" s="760"/>
      <c r="AS39" s="679"/>
      <c r="AT39" s="46"/>
      <c r="AU39" s="46"/>
      <c r="AV39" s="46"/>
      <c r="AW39" s="46"/>
      <c r="AX39" s="46"/>
      <c r="AY39" s="4">
        <v>19</v>
      </c>
    </row>
    <row r="40" spans="1:51" ht="61.9" customHeight="1">
      <c r="B40" s="43" t="s">
        <v>140</v>
      </c>
      <c r="C40" s="43" t="s">
        <v>141</v>
      </c>
      <c r="D40" s="43" t="s">
        <v>142</v>
      </c>
      <c r="E40" s="43" t="s">
        <v>440</v>
      </c>
      <c r="F40" s="43" t="s">
        <v>441</v>
      </c>
      <c r="G40" s="43" t="s">
        <v>442</v>
      </c>
      <c r="I40" s="43" t="s">
        <v>493</v>
      </c>
      <c r="J40" s="43" t="s">
        <v>445</v>
      </c>
      <c r="K40" s="43" t="s">
        <v>494</v>
      </c>
      <c r="L40" s="43" t="s">
        <v>421</v>
      </c>
      <c r="Q40" s="19"/>
      <c r="R40" s="19"/>
      <c r="S40" s="722"/>
      <c r="T40" s="722"/>
      <c r="U40" s="101"/>
      <c r="V40" s="679"/>
      <c r="W40" s="804"/>
      <c r="X40" s="612" t="s">
        <v>541</v>
      </c>
      <c r="Y40" s="612" t="s">
        <v>542</v>
      </c>
      <c r="Z40" s="804"/>
      <c r="AA40" s="612" t="s">
        <v>543</v>
      </c>
      <c r="AB40" s="612" t="s">
        <v>544</v>
      </c>
      <c r="AC40" s="27" t="s">
        <v>449</v>
      </c>
      <c r="AD40" s="728" t="s">
        <v>450</v>
      </c>
      <c r="AE40" s="734"/>
      <c r="AF40" s="726"/>
      <c r="AG40" s="679"/>
      <c r="AH40" s="804"/>
      <c r="AI40" s="612" t="s">
        <v>541</v>
      </c>
      <c r="AJ40" s="612" t="s">
        <v>542</v>
      </c>
      <c r="AK40" s="804"/>
      <c r="AL40" s="612" t="s">
        <v>543</v>
      </c>
      <c r="AM40" s="612" t="s">
        <v>544</v>
      </c>
      <c r="AN40" s="27" t="s">
        <v>449</v>
      </c>
      <c r="AO40" s="728" t="s">
        <v>450</v>
      </c>
      <c r="AP40" s="734"/>
      <c r="AQ40" s="726"/>
      <c r="AR40" s="761"/>
      <c r="AS40" s="679"/>
      <c r="AY40" s="4">
        <v>59</v>
      </c>
    </row>
    <row r="41" spans="1:51" s="117" customFormat="1" ht="11.25" hidden="1" customHeight="1">
      <c r="A41" s="43"/>
      <c r="B41" s="43"/>
      <c r="C41" s="43"/>
      <c r="D41" s="43"/>
      <c r="E41" s="43"/>
      <c r="F41" s="43"/>
      <c r="G41" s="43"/>
      <c r="H41" s="43"/>
      <c r="I41" s="43"/>
      <c r="J41" s="43"/>
      <c r="K41" s="43"/>
      <c r="L41" s="43"/>
      <c r="M41" s="167"/>
      <c r="N41" s="167"/>
      <c r="O41" s="167"/>
      <c r="P41" s="178"/>
      <c r="Q41" s="422"/>
      <c r="R41" s="424">
        <v>1</v>
      </c>
      <c r="S41" s="425" t="s">
        <v>110</v>
      </c>
      <c r="T41" s="425" t="s">
        <v>111</v>
      </c>
      <c r="U41" s="421" t="str">
        <f ca="1">OFFSET(U41,0,-1)</f>
        <v>2</v>
      </c>
      <c r="V41" s="426">
        <f ca="1">OFFSET(V41,0,-1)+1</f>
        <v>3</v>
      </c>
      <c r="W41" s="157"/>
      <c r="X41" s="157"/>
      <c r="Y41" s="157"/>
      <c r="Z41" s="157"/>
      <c r="AA41" s="157"/>
      <c r="AB41" s="157"/>
      <c r="AC41" s="426">
        <f ca="1">OFFSET(AC41,0,-1)+1</f>
        <v>1</v>
      </c>
      <c r="AD41" s="754">
        <f ca="1">OFFSET(AD41,0,-1)+1</f>
        <v>2</v>
      </c>
      <c r="AE41" s="754"/>
      <c r="AF41" s="426">
        <f ca="1">OFFSET(AF41,0,-2)+1</f>
        <v>3</v>
      </c>
      <c r="AG41" s="426">
        <f ca="1">OFFSET(AG41,0,-1)+1</f>
        <v>4</v>
      </c>
      <c r="AH41" s="426"/>
      <c r="AI41" s="426"/>
      <c r="AJ41" s="426"/>
      <c r="AK41" s="426"/>
      <c r="AL41" s="426"/>
      <c r="AM41" s="426">
        <f ca="1">OFFSET(AM41,0,-1)+1</f>
        <v>1</v>
      </c>
      <c r="AN41" s="426">
        <f ca="1">OFFSET(AN41,0,-1)+1</f>
        <v>2</v>
      </c>
      <c r="AO41" s="754">
        <f ca="1">OFFSET(AO41,0,-1)+1</f>
        <v>3</v>
      </c>
      <c r="AP41" s="754"/>
      <c r="AQ41" s="426">
        <f ca="1">OFFSET(AQ41,0,-2)+1</f>
        <v>4</v>
      </c>
      <c r="AR41" s="421">
        <f ca="1">OFFSET(AR41,0,-1)</f>
        <v>4</v>
      </c>
      <c r="AS41" s="426">
        <f ca="1">OFFSET(AS41,0,-1)+1</f>
        <v>5</v>
      </c>
      <c r="AT41" s="46"/>
      <c r="AU41" s="46"/>
      <c r="AV41" s="46"/>
      <c r="AW41" s="46"/>
      <c r="AX41" s="46"/>
      <c r="AY41" s="117">
        <v>0</v>
      </c>
    </row>
    <row r="42" spans="1:51" ht="24" customHeight="1">
      <c r="A42" s="43" t="s">
        <v>254</v>
      </c>
      <c r="E42" s="745">
        <v>1</v>
      </c>
      <c r="M42" s="43"/>
      <c r="N42" s="43"/>
      <c r="O42" s="43"/>
      <c r="Q42" s="4"/>
      <c r="R42" s="119"/>
      <c r="S42" s="24">
        <f>INDEX(PT_DIFFERENTIATION_NUM_NTAR,MATCH(A42,PT_DIFFERENTIATION_NTAR_ID,0))</f>
        <v>0</v>
      </c>
      <c r="T42" s="29" t="s">
        <v>128</v>
      </c>
      <c r="U42" s="29"/>
      <c r="V42" s="742"/>
      <c r="W42" s="743"/>
      <c r="X42" s="743"/>
      <c r="Y42" s="743"/>
      <c r="Z42" s="743"/>
      <c r="AA42" s="743"/>
      <c r="AB42" s="743"/>
      <c r="AC42" s="743"/>
      <c r="AD42" s="743"/>
      <c r="AE42" s="743"/>
      <c r="AF42" s="744"/>
      <c r="AG42" s="742" t="str">
        <f>INDEX(PT_DIFFERENTIATION_NTAR,MATCH(A42,PT_DIFFERENTIATION_NTAR_ID,0))</f>
        <v/>
      </c>
      <c r="AH42" s="743"/>
      <c r="AI42" s="743"/>
      <c r="AJ42" s="743"/>
      <c r="AK42" s="743"/>
      <c r="AL42" s="743"/>
      <c r="AM42" s="743"/>
      <c r="AN42" s="743"/>
      <c r="AO42" s="743"/>
      <c r="AP42" s="743"/>
      <c r="AQ42" s="743"/>
      <c r="AR42" s="744"/>
      <c r="AS42" s="4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V42" s="46" t="str">
        <f t="shared" ref="AV42:AV54" si="1">IF(T42="","",T42)</f>
        <v>Наименование тарифа</v>
      </c>
      <c r="AY42" s="4">
        <v>23</v>
      </c>
    </row>
    <row r="43" spans="1:51" ht="24" customHeight="1">
      <c r="A43" s="43" t="s">
        <v>254</v>
      </c>
      <c r="B43" s="43" t="s">
        <v>255</v>
      </c>
      <c r="E43" s="747"/>
      <c r="F43" s="745">
        <v>1</v>
      </c>
      <c r="M43" s="43"/>
      <c r="N43" s="43"/>
      <c r="O43" s="43"/>
      <c r="P43" s="4"/>
      <c r="Q43" s="118"/>
      <c r="R43" s="119"/>
      <c r="S43" s="24" t="str">
        <f>INDEX(PT_DIFFERENTIATION_NUM_TER,MATCH(B43,PT_DIFFERENTIATION_TER_ID,0))</f>
        <v>.</v>
      </c>
      <c r="T43" s="24" t="s">
        <v>400</v>
      </c>
      <c r="U43" s="29"/>
      <c r="V43" s="742"/>
      <c r="W43" s="743"/>
      <c r="X43" s="743"/>
      <c r="Y43" s="743"/>
      <c r="Z43" s="743"/>
      <c r="AA43" s="743"/>
      <c r="AB43" s="743"/>
      <c r="AC43" s="743"/>
      <c r="AD43" s="743"/>
      <c r="AE43" s="743"/>
      <c r="AF43" s="744"/>
      <c r="AG43" s="742" t="str">
        <f>INDEX(PT_DIFFERENTIATION_TER,MATCH(B43,PT_DIFFERENTIATION_TER_ID,0))</f>
        <v/>
      </c>
      <c r="AH43" s="743"/>
      <c r="AI43" s="743"/>
      <c r="AJ43" s="743"/>
      <c r="AK43" s="743"/>
      <c r="AL43" s="743"/>
      <c r="AM43" s="743"/>
      <c r="AN43" s="743"/>
      <c r="AO43" s="743"/>
      <c r="AP43" s="743"/>
      <c r="AQ43" s="743"/>
      <c r="AR43" s="744"/>
      <c r="AS43" s="428" t="s">
        <v>401</v>
      </c>
      <c r="AV43" s="46" t="str">
        <f t="shared" si="1"/>
        <v>Территория действия тарифа</v>
      </c>
      <c r="AY43" s="4">
        <v>23</v>
      </c>
    </row>
    <row r="44" spans="1:51" ht="24" customHeight="1">
      <c r="A44" s="43" t="s">
        <v>254</v>
      </c>
      <c r="B44" s="43" t="s">
        <v>255</v>
      </c>
      <c r="C44" s="43" t="s">
        <v>256</v>
      </c>
      <c r="E44" s="747"/>
      <c r="F44" s="747"/>
      <c r="G44" s="745">
        <v>1</v>
      </c>
      <c r="M44" s="43"/>
      <c r="N44" s="43"/>
      <c r="O44" s="43"/>
      <c r="P44" s="16"/>
      <c r="Q44" s="118"/>
      <c r="R44" s="119"/>
      <c r="S44" s="24" t="str">
        <f>INDEX(PT_DIFFERENTIATION_NUM_CS,MATCH(C44,PT_DIFFERENTIATION_CS_ID,0))</f>
        <v>..</v>
      </c>
      <c r="T44" s="24" t="s">
        <v>533</v>
      </c>
      <c r="U44" s="29"/>
      <c r="V44" s="742"/>
      <c r="W44" s="743"/>
      <c r="X44" s="743"/>
      <c r="Y44" s="743"/>
      <c r="Z44" s="743"/>
      <c r="AA44" s="743"/>
      <c r="AB44" s="743"/>
      <c r="AC44" s="743"/>
      <c r="AD44" s="743"/>
      <c r="AE44" s="743"/>
      <c r="AF44" s="744"/>
      <c r="AG44" s="742" t="str">
        <f>INDEX(PT_DIFFERENTIATION_CS,MATCH(C44,PT_DIFFERENTIATION_CS_ID,0))</f>
        <v/>
      </c>
      <c r="AH44" s="743"/>
      <c r="AI44" s="743"/>
      <c r="AJ44" s="743"/>
      <c r="AK44" s="743"/>
      <c r="AL44" s="743"/>
      <c r="AM44" s="743"/>
      <c r="AN44" s="743"/>
      <c r="AO44" s="743"/>
      <c r="AP44" s="743"/>
      <c r="AQ44" s="743"/>
      <c r="AR44" s="744"/>
      <c r="AS44" s="428" t="s">
        <v>534</v>
      </c>
      <c r="AV44" s="46" t="str">
        <f t="shared" si="1"/>
        <v>Наименование централизованной системы горячего водоснабжения</v>
      </c>
      <c r="AY44" s="4">
        <v>23</v>
      </c>
    </row>
    <row r="45" spans="1:51" ht="24" customHeight="1">
      <c r="A45" s="43" t="s">
        <v>254</v>
      </c>
      <c r="B45" s="43" t="s">
        <v>255</v>
      </c>
      <c r="C45" s="43" t="s">
        <v>256</v>
      </c>
      <c r="D45" s="43" t="s">
        <v>545</v>
      </c>
      <c r="E45" s="747"/>
      <c r="F45" s="747"/>
      <c r="G45" s="747"/>
      <c r="H45" s="747"/>
      <c r="I45" s="745" t="str">
        <f>S44&amp;".1"</f>
        <v>...1</v>
      </c>
      <c r="P45" s="748">
        <v>1</v>
      </c>
      <c r="Q45" s="46"/>
      <c r="R45" s="120"/>
      <c r="S45" s="24" t="str">
        <f>$I45</f>
        <v>...1</v>
      </c>
      <c r="T45" s="24" t="s">
        <v>486</v>
      </c>
      <c r="U45" s="29"/>
      <c r="V45" s="793"/>
      <c r="W45" s="794"/>
      <c r="X45" s="794"/>
      <c r="Y45" s="794"/>
      <c r="Z45" s="794"/>
      <c r="AA45" s="794"/>
      <c r="AB45" s="794"/>
      <c r="AC45" s="794"/>
      <c r="AD45" s="794"/>
      <c r="AE45" s="794"/>
      <c r="AF45" s="795"/>
      <c r="AG45" s="793"/>
      <c r="AH45" s="794"/>
      <c r="AI45" s="794"/>
      <c r="AJ45" s="794"/>
      <c r="AK45" s="794"/>
      <c r="AL45" s="794"/>
      <c r="AM45" s="794"/>
      <c r="AN45" s="794"/>
      <c r="AO45" s="794"/>
      <c r="AP45" s="794"/>
      <c r="AQ45" s="794"/>
      <c r="AR45" s="795"/>
      <c r="AS45" s="428" t="s">
        <v>487</v>
      </c>
      <c r="AV45" s="46" t="str">
        <f t="shared" si="1"/>
        <v>Наименование признака дифференциации</v>
      </c>
      <c r="AY45" s="4">
        <v>23</v>
      </c>
    </row>
    <row r="46" spans="1:51" ht="24" customHeight="1">
      <c r="A46" s="43" t="s">
        <v>254</v>
      </c>
      <c r="B46" s="43" t="s">
        <v>255</v>
      </c>
      <c r="C46" s="43" t="s">
        <v>256</v>
      </c>
      <c r="D46" s="43" t="s">
        <v>545</v>
      </c>
      <c r="E46" s="747"/>
      <c r="F46" s="747"/>
      <c r="G46" s="747"/>
      <c r="H46" s="747"/>
      <c r="I46" s="747"/>
      <c r="J46" s="745" t="str">
        <f>I45&amp;".1"</f>
        <v>...1.1</v>
      </c>
      <c r="L46" s="43" t="s">
        <v>409</v>
      </c>
      <c r="P46" s="748"/>
      <c r="Q46" s="748">
        <v>1</v>
      </c>
      <c r="R46" s="120"/>
      <c r="S46" s="24" t="str">
        <f>$J46</f>
        <v>...1.1</v>
      </c>
      <c r="T46" s="24" t="s">
        <v>410</v>
      </c>
      <c r="U46" s="29"/>
      <c r="V46" s="737"/>
      <c r="W46" s="738"/>
      <c r="X46" s="738"/>
      <c r="Y46" s="738"/>
      <c r="Z46" s="738"/>
      <c r="AA46" s="738"/>
      <c r="AB46" s="738"/>
      <c r="AC46" s="738"/>
      <c r="AD46" s="738"/>
      <c r="AE46" s="738"/>
      <c r="AF46" s="739"/>
      <c r="AG46" s="737"/>
      <c r="AH46" s="738"/>
      <c r="AI46" s="738"/>
      <c r="AJ46" s="738"/>
      <c r="AK46" s="738"/>
      <c r="AL46" s="738"/>
      <c r="AM46" s="738"/>
      <c r="AN46" s="738"/>
      <c r="AO46" s="738"/>
      <c r="AP46" s="738"/>
      <c r="AQ46" s="738"/>
      <c r="AR46" s="739"/>
      <c r="AS46" s="445" t="s">
        <v>488</v>
      </c>
      <c r="AV46" s="46" t="str">
        <f t="shared" si="1"/>
        <v>Группа потребителей</v>
      </c>
      <c r="AY46" s="4">
        <v>23</v>
      </c>
    </row>
    <row r="47" spans="1:51" ht="24" customHeight="1">
      <c r="A47" s="43" t="s">
        <v>254</v>
      </c>
      <c r="B47" s="43" t="s">
        <v>255</v>
      </c>
      <c r="C47" s="43" t="s">
        <v>256</v>
      </c>
      <c r="D47" s="43" t="s">
        <v>545</v>
      </c>
      <c r="E47" s="747"/>
      <c r="F47" s="747"/>
      <c r="G47" s="747"/>
      <c r="H47" s="747"/>
      <c r="I47" s="747"/>
      <c r="J47" s="747"/>
      <c r="K47" s="745" t="str">
        <f>J46&amp;".1"</f>
        <v>...1.1.1</v>
      </c>
      <c r="P47" s="748"/>
      <c r="Q47" s="748"/>
      <c r="R47" s="120">
        <v>1</v>
      </c>
      <c r="S47" s="24" t="str">
        <f>$K47</f>
        <v>...1.1.1</v>
      </c>
      <c r="T47" s="25"/>
      <c r="U47" s="29"/>
      <c r="V47" s="168"/>
      <c r="W47" s="168"/>
      <c r="X47" s="168"/>
      <c r="Y47" s="168"/>
      <c r="Z47" s="168"/>
      <c r="AA47" s="168"/>
      <c r="AB47" s="168"/>
      <c r="AC47" s="746"/>
      <c r="AD47" s="745" t="s">
        <v>66</v>
      </c>
      <c r="AE47" s="746"/>
      <c r="AF47" s="745" t="s">
        <v>66</v>
      </c>
      <c r="AG47" s="168"/>
      <c r="AH47" s="168"/>
      <c r="AI47" s="168"/>
      <c r="AJ47" s="168"/>
      <c r="AK47" s="168"/>
      <c r="AL47" s="168"/>
      <c r="AM47" s="168"/>
      <c r="AN47" s="749"/>
      <c r="AO47" s="688" t="s">
        <v>66</v>
      </c>
      <c r="AP47" s="750"/>
      <c r="AQ47" s="688" t="s">
        <v>19</v>
      </c>
      <c r="AR47" s="474"/>
      <c r="AS47" s="79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46" t="e">
        <f ca="1">STRCHECKDATE(V48:AR48)</f>
        <v>#NAME?</v>
      </c>
      <c r="AV47" s="46" t="str">
        <f t="shared" si="1"/>
        <v/>
      </c>
      <c r="AY47" s="4">
        <v>23</v>
      </c>
    </row>
    <row r="48" spans="1:51" ht="0" hidden="1" customHeight="1">
      <c r="A48" s="43" t="s">
        <v>254</v>
      </c>
      <c r="B48" s="43" t="s">
        <v>255</v>
      </c>
      <c r="C48" s="43" t="s">
        <v>256</v>
      </c>
      <c r="D48" s="43" t="s">
        <v>545</v>
      </c>
      <c r="E48" s="747"/>
      <c r="F48" s="747"/>
      <c r="G48" s="747"/>
      <c r="H48" s="747"/>
      <c r="I48" s="747"/>
      <c r="J48" s="747"/>
      <c r="K48" s="745"/>
      <c r="P48" s="748"/>
      <c r="Q48" s="748"/>
      <c r="R48" s="120"/>
      <c r="S48" s="31"/>
      <c r="T48" s="29"/>
      <c r="U48" s="29"/>
      <c r="V48" s="205"/>
      <c r="W48" s="205"/>
      <c r="X48" s="205"/>
      <c r="Y48" s="205"/>
      <c r="Z48" s="205"/>
      <c r="AA48" s="205"/>
      <c r="AB48" s="205"/>
      <c r="AC48" s="745"/>
      <c r="AD48" s="745"/>
      <c r="AE48" s="745"/>
      <c r="AF48" s="745"/>
      <c r="AG48" s="110"/>
      <c r="AH48" s="110"/>
      <c r="AI48" s="110"/>
      <c r="AJ48" s="110"/>
      <c r="AK48" s="110"/>
      <c r="AL48" s="110"/>
      <c r="AM48" s="110"/>
      <c r="AN48" s="707"/>
      <c r="AO48" s="688"/>
      <c r="AP48" s="751"/>
      <c r="AQ48" s="688"/>
      <c r="AR48" s="216"/>
      <c r="AS48" s="796"/>
      <c r="AV48" s="46" t="str">
        <f t="shared" si="1"/>
        <v/>
      </c>
      <c r="AY48" s="4">
        <v>0</v>
      </c>
    </row>
    <row r="49" spans="1:51" ht="21" customHeight="1">
      <c r="A49" s="43" t="s">
        <v>254</v>
      </c>
      <c r="B49" s="43" t="s">
        <v>255</v>
      </c>
      <c r="C49" s="43" t="s">
        <v>256</v>
      </c>
      <c r="D49" s="43" t="s">
        <v>545</v>
      </c>
      <c r="E49" s="747"/>
      <c r="F49" s="747"/>
      <c r="G49" s="747"/>
      <c r="H49" s="747"/>
      <c r="I49" s="747"/>
      <c r="J49" s="745"/>
      <c r="P49" s="748"/>
      <c r="Q49" s="748"/>
      <c r="R49" s="120"/>
      <c r="S49" s="434"/>
      <c r="T49" s="37" t="s">
        <v>489</v>
      </c>
      <c r="U49" s="58"/>
      <c r="V49" s="58"/>
      <c r="W49" s="58"/>
      <c r="X49" s="58"/>
      <c r="Y49" s="58"/>
      <c r="Z49" s="58"/>
      <c r="AA49" s="58"/>
      <c r="AB49" s="58"/>
      <c r="AC49" s="58"/>
      <c r="AD49" s="58"/>
      <c r="AE49" s="58"/>
      <c r="AF49" s="58"/>
      <c r="AG49" s="58"/>
      <c r="AH49" s="58"/>
      <c r="AI49" s="58"/>
      <c r="AJ49" s="58"/>
      <c r="AK49" s="58"/>
      <c r="AL49" s="58"/>
      <c r="AM49" s="58"/>
      <c r="AN49" s="58"/>
      <c r="AO49" s="58"/>
      <c r="AP49" s="58"/>
      <c r="AQ49" s="58"/>
      <c r="AR49" s="58"/>
      <c r="AS49" s="428" t="s">
        <v>490</v>
      </c>
      <c r="AV49" s="46" t="str">
        <f t="shared" si="1"/>
        <v>Добавить значение признака дифференциации</v>
      </c>
      <c r="AY49" s="4">
        <v>20</v>
      </c>
    </row>
    <row r="50" spans="1:51" ht="21.95" customHeight="1">
      <c r="A50" s="43" t="s">
        <v>254</v>
      </c>
      <c r="B50" s="43" t="s">
        <v>255</v>
      </c>
      <c r="C50" s="43" t="s">
        <v>256</v>
      </c>
      <c r="D50" s="43" t="s">
        <v>545</v>
      </c>
      <c r="E50" s="747"/>
      <c r="F50" s="747"/>
      <c r="G50" s="747"/>
      <c r="H50" s="747"/>
      <c r="I50" s="745"/>
      <c r="P50" s="748"/>
      <c r="Q50" s="46"/>
      <c r="R50" s="120"/>
      <c r="S50" s="434"/>
      <c r="T50" s="37" t="s">
        <v>415</v>
      </c>
      <c r="U50" s="58"/>
      <c r="V50" s="58"/>
      <c r="W50" s="58"/>
      <c r="X50" s="58"/>
      <c r="Y50" s="58"/>
      <c r="Z50" s="58"/>
      <c r="AA50" s="58"/>
      <c r="AB50" s="58"/>
      <c r="AC50" s="58"/>
      <c r="AD50" s="58"/>
      <c r="AE50" s="58"/>
      <c r="AF50" s="54"/>
      <c r="AG50" s="58"/>
      <c r="AH50" s="58"/>
      <c r="AI50" s="58"/>
      <c r="AJ50" s="58"/>
      <c r="AK50" s="58"/>
      <c r="AL50" s="58"/>
      <c r="AM50" s="58"/>
      <c r="AN50" s="58"/>
      <c r="AO50" s="58"/>
      <c r="AP50" s="58"/>
      <c r="AQ50" s="54"/>
      <c r="AR50" s="58"/>
      <c r="AS50" s="475"/>
      <c r="AV50" s="46" t="str">
        <f t="shared" si="1"/>
        <v>Добавить группу потребителей</v>
      </c>
      <c r="AY50" s="4">
        <v>21</v>
      </c>
    </row>
    <row r="51" spans="1:51" ht="21.95" customHeight="1">
      <c r="A51" s="43" t="s">
        <v>254</v>
      </c>
      <c r="B51" s="43" t="s">
        <v>255</v>
      </c>
      <c r="C51" s="43" t="s">
        <v>256</v>
      </c>
      <c r="D51" s="43" t="s">
        <v>545</v>
      </c>
      <c r="E51" s="747"/>
      <c r="F51" s="747"/>
      <c r="G51" s="747"/>
      <c r="H51" s="745"/>
      <c r="M51" s="43"/>
      <c r="N51" s="43"/>
      <c r="O51" s="43"/>
      <c r="P51" s="4"/>
      <c r="R51" s="119"/>
      <c r="S51" s="434"/>
      <c r="T51" s="37" t="s">
        <v>491</v>
      </c>
      <c r="U51" s="58"/>
      <c r="V51" s="58"/>
      <c r="W51" s="58"/>
      <c r="X51" s="58"/>
      <c r="Y51" s="58"/>
      <c r="Z51" s="58"/>
      <c r="AA51" s="58"/>
      <c r="AB51" s="58"/>
      <c r="AC51" s="58"/>
      <c r="AD51" s="58"/>
      <c r="AE51" s="58"/>
      <c r="AF51" s="54"/>
      <c r="AG51" s="58"/>
      <c r="AH51" s="58"/>
      <c r="AI51" s="58"/>
      <c r="AJ51" s="58"/>
      <c r="AK51" s="58"/>
      <c r="AL51" s="58"/>
      <c r="AM51" s="58"/>
      <c r="AN51" s="58"/>
      <c r="AO51" s="58"/>
      <c r="AP51" s="58"/>
      <c r="AQ51" s="54"/>
      <c r="AR51" s="58"/>
      <c r="AS51" s="102"/>
      <c r="AV51" s="46" t="str">
        <f t="shared" si="1"/>
        <v>Добавить наименование признака дифференциации</v>
      </c>
      <c r="AY51" s="4">
        <v>21</v>
      </c>
    </row>
    <row r="52" spans="1:51" s="46" customFormat="1" ht="0" hidden="1" customHeight="1">
      <c r="A52" s="46" t="s">
        <v>254</v>
      </c>
      <c r="B52" s="46" t="s">
        <v>255</v>
      </c>
      <c r="E52" s="747"/>
      <c r="F52" s="745"/>
      <c r="M52" s="160"/>
      <c r="N52" s="160"/>
      <c r="Q52" s="446"/>
      <c r="S52" s="449"/>
      <c r="T52" s="160" t="s">
        <v>418</v>
      </c>
      <c r="U52" s="160"/>
      <c r="V52" s="160"/>
      <c r="W52" s="160"/>
      <c r="X52" s="160"/>
      <c r="Y52" s="160"/>
      <c r="Z52" s="160"/>
      <c r="AA52" s="160"/>
      <c r="AB52" s="160"/>
      <c r="AC52" s="160"/>
      <c r="AD52" s="160"/>
      <c r="AE52" s="160"/>
      <c r="AF52" s="160"/>
      <c r="AG52" s="160"/>
      <c r="AH52" s="160"/>
      <c r="AI52" s="160"/>
      <c r="AJ52" s="160"/>
      <c r="AK52" s="160"/>
      <c r="AL52" s="160"/>
      <c r="AM52" s="160"/>
      <c r="AN52" s="160"/>
      <c r="AO52" s="160"/>
      <c r="AP52" s="160"/>
      <c r="AQ52" s="160"/>
      <c r="AR52" s="160"/>
      <c r="AS52" s="160"/>
      <c r="AV52" s="46" t="str">
        <f t="shared" si="1"/>
        <v>Добавить централизованную систему для дифференциации</v>
      </c>
      <c r="AY52" s="46">
        <v>0</v>
      </c>
    </row>
    <row r="53" spans="1:51" s="46" customFormat="1" ht="0" hidden="1" customHeight="1">
      <c r="A53" s="46" t="s">
        <v>254</v>
      </c>
      <c r="E53" s="745"/>
      <c r="M53" s="160"/>
      <c r="N53" s="160"/>
      <c r="Q53" s="446"/>
      <c r="S53" s="449"/>
      <c r="T53" s="160" t="s">
        <v>419</v>
      </c>
      <c r="U53" s="160"/>
      <c r="V53" s="160"/>
      <c r="W53" s="160"/>
      <c r="X53" s="160"/>
      <c r="Y53" s="160"/>
      <c r="Z53" s="160"/>
      <c r="AA53" s="160"/>
      <c r="AB53" s="160"/>
      <c r="AC53" s="160"/>
      <c r="AD53" s="160"/>
      <c r="AE53" s="160"/>
      <c r="AF53" s="160"/>
      <c r="AG53" s="160"/>
      <c r="AH53" s="160"/>
      <c r="AI53" s="160"/>
      <c r="AJ53" s="160"/>
      <c r="AK53" s="160"/>
      <c r="AL53" s="160"/>
      <c r="AM53" s="160"/>
      <c r="AN53" s="160"/>
      <c r="AO53" s="160"/>
      <c r="AP53" s="160"/>
      <c r="AQ53" s="160"/>
      <c r="AR53" s="160"/>
      <c r="AS53" s="160"/>
      <c r="AV53" s="46" t="str">
        <f t="shared" si="1"/>
        <v>Добавить территорию для дифференциации</v>
      </c>
      <c r="AY53" s="46">
        <v>0</v>
      </c>
    </row>
    <row r="54" spans="1:51" s="46" customFormat="1" ht="0" hidden="1" customHeight="1">
      <c r="M54" s="160"/>
      <c r="N54" s="160"/>
      <c r="Q54" s="446"/>
      <c r="S54" s="449"/>
      <c r="T54" s="160" t="s">
        <v>451</v>
      </c>
      <c r="U54" s="160"/>
      <c r="V54" s="160"/>
      <c r="W54" s="160"/>
      <c r="X54" s="160"/>
      <c r="Y54" s="160"/>
      <c r="Z54" s="160"/>
      <c r="AA54" s="160"/>
      <c r="AB54" s="160"/>
      <c r="AC54" s="160"/>
      <c r="AD54" s="160"/>
      <c r="AE54" s="160"/>
      <c r="AF54" s="160"/>
      <c r="AG54" s="160"/>
      <c r="AH54" s="160"/>
      <c r="AI54" s="160"/>
      <c r="AJ54" s="160"/>
      <c r="AK54" s="160"/>
      <c r="AL54" s="160"/>
      <c r="AM54" s="160"/>
      <c r="AN54" s="160"/>
      <c r="AO54" s="160"/>
      <c r="AP54" s="160"/>
      <c r="AQ54" s="160"/>
      <c r="AR54" s="160"/>
      <c r="AS54" s="160"/>
      <c r="AV54" s="46" t="str">
        <f t="shared" si="1"/>
        <v>Добавить наименование тарифа</v>
      </c>
      <c r="AY54" s="46">
        <v>0</v>
      </c>
    </row>
    <row r="55" spans="1:51" ht="11.45" customHeight="1">
      <c r="M55" s="43"/>
      <c r="N55" s="43"/>
      <c r="O55" s="43"/>
      <c r="P55" s="4"/>
      <c r="Q55" s="4"/>
      <c r="R55" s="4"/>
      <c r="AT55" s="4"/>
      <c r="AU55" s="4"/>
      <c r="AV55" s="4"/>
      <c r="AW55" s="4"/>
      <c r="AX55" s="4"/>
      <c r="AY55" s="4">
        <v>11</v>
      </c>
    </row>
    <row r="56" spans="1:51" ht="14.65" customHeight="1">
      <c r="O56" s="43"/>
      <c r="T56" s="665"/>
      <c r="U56" s="665"/>
      <c r="V56" s="665"/>
      <c r="W56" s="665"/>
      <c r="X56" s="665"/>
      <c r="Y56" s="665"/>
      <c r="Z56" s="665"/>
      <c r="AA56" s="665"/>
      <c r="AB56" s="665"/>
      <c r="AC56" s="665"/>
      <c r="AD56" s="665"/>
      <c r="AE56" s="665"/>
      <c r="AF56" s="665"/>
      <c r="AG56" s="665"/>
      <c r="AH56" s="665"/>
      <c r="AI56" s="665"/>
      <c r="AJ56" s="665"/>
      <c r="AK56" s="665"/>
      <c r="AL56" s="665"/>
      <c r="AM56" s="665"/>
      <c r="AN56" s="665"/>
      <c r="AO56" s="665"/>
      <c r="AP56" s="665"/>
      <c r="AQ56" s="665"/>
      <c r="AR56" s="665"/>
      <c r="AS56" s="665"/>
      <c r="AY56" s="4">
        <v>14</v>
      </c>
    </row>
    <row r="57" spans="1:51" ht="14.65" customHeight="1">
      <c r="O57" s="43"/>
      <c r="AY57" s="4">
        <v>14</v>
      </c>
    </row>
    <row r="58" spans="1:51" ht="14.65" customHeight="1">
      <c r="O58" s="43"/>
      <c r="T58" s="665"/>
      <c r="U58" s="665"/>
      <c r="V58" s="665"/>
      <c r="W58" s="665"/>
      <c r="X58" s="665"/>
      <c r="Y58" s="665"/>
      <c r="Z58" s="665"/>
      <c r="AA58" s="665"/>
      <c r="AB58" s="665"/>
      <c r="AC58" s="665"/>
      <c r="AD58" s="665"/>
      <c r="AE58" s="665"/>
      <c r="AF58" s="665"/>
      <c r="AG58" s="665"/>
      <c r="AH58" s="665"/>
      <c r="AI58" s="665"/>
      <c r="AJ58" s="665"/>
      <c r="AK58" s="665"/>
      <c r="AL58" s="665"/>
      <c r="AM58" s="665"/>
      <c r="AN58" s="665"/>
      <c r="AO58" s="665"/>
      <c r="AP58" s="665"/>
      <c r="AQ58" s="665"/>
      <c r="AR58" s="665"/>
      <c r="AS58" s="665"/>
      <c r="AY58" s="4">
        <v>14</v>
      </c>
    </row>
    <row r="59" spans="1:51" ht="22.5" hidden="1" customHeight="1">
      <c r="A59" s="43" t="s">
        <v>82</v>
      </c>
      <c r="B59" s="43">
        <v>0</v>
      </c>
      <c r="C59" s="43">
        <v>0</v>
      </c>
      <c r="D59" s="43">
        <v>0</v>
      </c>
      <c r="E59" s="43">
        <v>0</v>
      </c>
      <c r="F59" s="43">
        <v>0</v>
      </c>
      <c r="G59" s="43">
        <v>0</v>
      </c>
      <c r="H59" s="43">
        <v>0</v>
      </c>
      <c r="I59" s="43">
        <v>0</v>
      </c>
      <c r="J59" s="43">
        <v>0</v>
      </c>
      <c r="K59" s="43">
        <v>0</v>
      </c>
      <c r="L59" s="43">
        <v>0</v>
      </c>
      <c r="M59" s="167">
        <v>0</v>
      </c>
      <c r="N59" s="167">
        <v>0</v>
      </c>
      <c r="O59" s="167">
        <v>0</v>
      </c>
      <c r="P59" s="23">
        <v>3</v>
      </c>
      <c r="Q59" s="20">
        <v>3</v>
      </c>
      <c r="R59" s="20">
        <v>3</v>
      </c>
      <c r="S59" s="4">
        <v>12</v>
      </c>
      <c r="T59" s="4">
        <v>35</v>
      </c>
      <c r="U59" s="4">
        <v>0</v>
      </c>
      <c r="V59" s="4">
        <v>0</v>
      </c>
      <c r="W59" s="4">
        <v>0</v>
      </c>
      <c r="X59" s="4">
        <v>0</v>
      </c>
      <c r="Y59" s="4">
        <v>0</v>
      </c>
      <c r="Z59" s="4">
        <v>0</v>
      </c>
      <c r="AA59" s="4">
        <v>0</v>
      </c>
      <c r="AB59" s="4">
        <v>0</v>
      </c>
      <c r="AC59" s="4">
        <v>0</v>
      </c>
      <c r="AD59" s="4">
        <v>0</v>
      </c>
      <c r="AE59" s="4">
        <v>0</v>
      </c>
      <c r="AF59" s="4">
        <v>0</v>
      </c>
      <c r="AG59" s="4">
        <v>19</v>
      </c>
      <c r="AH59" s="4">
        <v>19</v>
      </c>
      <c r="AI59" s="4">
        <v>19</v>
      </c>
      <c r="AJ59" s="4">
        <v>19</v>
      </c>
      <c r="AK59" s="4">
        <v>19</v>
      </c>
      <c r="AL59" s="4">
        <v>19</v>
      </c>
      <c r="AM59" s="4">
        <v>19</v>
      </c>
      <c r="AN59" s="4">
        <v>11</v>
      </c>
      <c r="AO59" s="4">
        <v>3</v>
      </c>
      <c r="AP59" s="4">
        <v>11</v>
      </c>
      <c r="AQ59" s="4">
        <v>0</v>
      </c>
      <c r="AR59" s="4">
        <v>4</v>
      </c>
      <c r="AS59" s="4">
        <v>115</v>
      </c>
      <c r="AT59" s="46">
        <v>10</v>
      </c>
      <c r="AU59" s="46">
        <v>10</v>
      </c>
      <c r="AV59" s="46">
        <v>10</v>
      </c>
      <c r="AW59" s="46">
        <v>10</v>
      </c>
      <c r="AX59" s="46">
        <v>10</v>
      </c>
      <c r="AY59" s="4">
        <v>23</v>
      </c>
    </row>
  </sheetData>
  <sheetProtection formatColumns="0" formatRows="0" insertRows="0" deleteColumns="0" deleteRows="0" sort="0" autoFilter="0"/>
  <mergeCells count="113">
    <mergeCell ref="AH38:AJ38"/>
    <mergeCell ref="AK38:AM38"/>
    <mergeCell ref="AH39:AH40"/>
    <mergeCell ref="AI39:AJ39"/>
    <mergeCell ref="AK39:AK40"/>
    <mergeCell ref="X39:Y39"/>
    <mergeCell ref="W39:W40"/>
    <mergeCell ref="Z39:Z40"/>
    <mergeCell ref="AA39:AB39"/>
    <mergeCell ref="W38:Y38"/>
    <mergeCell ref="Z38:AB3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S29:T29"/>
    <mergeCell ref="AG38:AG40"/>
    <mergeCell ref="AS7:AS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36:AS40"/>
    <mergeCell ref="S37:S40"/>
    <mergeCell ref="T37:T40"/>
    <mergeCell ref="V37:AE37"/>
    <mergeCell ref="AF37:AF40"/>
    <mergeCell ref="AG37:AP37"/>
    <mergeCell ref="AQ37:AQ40"/>
    <mergeCell ref="S32:T32"/>
    <mergeCell ref="V32:AE32"/>
    <mergeCell ref="AG32:AP32"/>
    <mergeCell ref="S33:T33"/>
    <mergeCell ref="V33:AE33"/>
    <mergeCell ref="AG33:AP33"/>
    <mergeCell ref="AR37:AR40"/>
    <mergeCell ref="AD40:AE40"/>
    <mergeCell ref="AO40:AP40"/>
    <mergeCell ref="V35:AF35"/>
    <mergeCell ref="AG35:AQ35"/>
    <mergeCell ref="S36:AR36"/>
    <mergeCell ref="AN38:AP39"/>
    <mergeCell ref="AC38:AE39"/>
    <mergeCell ref="AL39:AM39"/>
    <mergeCell ref="V38:V40"/>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V46:AF46"/>
    <mergeCell ref="AG46:AR46"/>
    <mergeCell ref="AO47:AO48"/>
    <mergeCell ref="AP47:AP48"/>
    <mergeCell ref="AQ47:AQ48"/>
    <mergeCell ref="AS47:AS48"/>
    <mergeCell ref="T56:AS56"/>
    <mergeCell ref="T58:AS58"/>
    <mergeCell ref="K47:K48"/>
    <mergeCell ref="AC47:AC48"/>
    <mergeCell ref="AD47:AD48"/>
    <mergeCell ref="AE47:AE48"/>
    <mergeCell ref="AF47:AF48"/>
    <mergeCell ref="AN47:AN48"/>
  </mergeCells>
  <dataValidations count="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xr:uid="{00000000-0002-0000-1D00-00000000000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xr:uid="{00000000-0002-0000-1D00-000001000000}"/>
    <dataValidation type="list" allowBlank="1" showInputMessage="1" showErrorMessage="1" errorTitle="Ошибка" error="Выберите значение из списка" sqref="T65579 T131115 T196651 T262187 T327723 T393259 T458795 T524331 T589867 T655403 T720939 T786475 T852011 T917547 T983083" xr:uid="{00000000-0002-0000-1D00-000002000000}">
      <formula1>kind_of_heat_transfer</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xr:uid="{00000000-0002-0000-1D00-000003000000}">
      <formula1>900</formula1>
    </dataValidation>
    <dataValidation type="list" allowBlank="1" showInputMessage="1" showErrorMessage="1" errorTitle="Ошибка" error="Выберите значение из списка" sqref="AG917545:AL917545 AG852009:AL852009 AG786473:AL786473 AG720937:AL720937 AG655401:AL655401 AG589865:AL589865 AG524329:AL524329 AG458793:AL458793 AG393257:AL393257 AG327721:AL327721 AG262185:AL262185 AG196649:AL196649 AG131113:AL131113 AG65577:AL65577 AG983081:AL983081 V983081:AB983081 V65577:AB65577 V131113:AB131113 V196649:AB196649 V262185:AB262185 V327721:AB327721 V393257:AB393257 V458793:AB458793 V524329:AB524329 V589865:AB589865 V655401:AB655401 V720937:AB720937 V786473:AB786473 V852009:AB852009 V917545:AB917545" xr:uid="{00000000-0002-0000-1D00-000004000000}">
      <formula1>kind_of_scheme_in</formula1>
    </dataValidation>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xr:uid="{00000000-0002-0000-1D00-000005000000}">
      <formula1>kind_of_cons</formula1>
    </dataValidation>
    <dataValidation allowBlank="1" sqref="S131117:AS131123 S196653:AS196659 S262189:AS262195 S327725:AS327731 S393261:AS393267 S458797:AS458803 S524333:AS524339 S589869:AS589875 S655405:AS655411 S720941:AS720947 S786477:AS786483 S852013:AS852019 S917549:AS917555 S983085:AS983091 S65581:AS65587" xr:uid="{00000000-0002-0000-1D00-00000600000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C862FE-1B3C-4B43-8CBC-6D20264DFDE8}">
  <sheetPr>
    <tabColor theme="6" tint="0.39997558519241921"/>
  </sheetPr>
  <dimension ref="A1:AY59"/>
  <sheetViews>
    <sheetView showGridLines="0" zoomScale="90" workbookViewId="0">
      <pane xSplit="32" ySplit="41" topLeftCell="AG42" activePane="bottomRight" state="frozen"/>
      <selection pane="topRight" activeCell="AG1" sqref="AG1"/>
      <selection pane="bottomLeft" activeCell="A42" sqref="A42"/>
      <selection pane="bottomRight"/>
    </sheetView>
  </sheetViews>
  <sheetFormatPr defaultColWidth="10.5703125" defaultRowHeight="14.25" customHeight="1"/>
  <cols>
    <col min="1" max="1" width="10.5703125" style="43" hidden="1"/>
    <col min="2" max="2" width="11" style="43" hidden="1" customWidth="1"/>
    <col min="3" max="3" width="10.5703125" style="43" hidden="1"/>
    <col min="4" max="4" width="11.85546875" style="43" hidden="1" customWidth="1"/>
    <col min="5" max="5" width="10" style="43" hidden="1" customWidth="1"/>
    <col min="6" max="6" width="8.7109375" style="43" hidden="1" customWidth="1"/>
    <col min="7" max="7" width="7.5703125" style="43" hidden="1" customWidth="1"/>
    <col min="8" max="8" width="11.42578125" style="43" hidden="1" customWidth="1"/>
    <col min="9" max="9" width="14.140625" style="43" hidden="1" customWidth="1"/>
    <col min="10" max="10" width="9.85546875" style="43" hidden="1" customWidth="1"/>
    <col min="11" max="11" width="14.7109375" style="43" hidden="1" customWidth="1"/>
    <col min="12" max="12" width="19.140625" style="43" hidden="1" customWidth="1"/>
    <col min="13" max="14" width="12.28515625" style="167" hidden="1" customWidth="1"/>
    <col min="15" max="15" width="23.42578125" style="167" hidden="1" customWidth="1"/>
    <col min="16" max="16" width="3" style="23" customWidth="1"/>
    <col min="17" max="18" width="3" style="20" customWidth="1"/>
    <col min="19" max="19" width="12" style="4" customWidth="1"/>
    <col min="20" max="20" width="35" style="4" customWidth="1"/>
    <col min="21" max="21" width="0.140625" style="4" customWidth="1"/>
    <col min="22" max="28" width="19.7109375" style="4" hidden="1" customWidth="1"/>
    <col min="29" max="29" width="11.7109375" style="4" hidden="1" customWidth="1"/>
    <col min="30" max="30" width="3.7109375" style="4" hidden="1" customWidth="1"/>
    <col min="31" max="31" width="11.7109375" style="4" hidden="1" customWidth="1"/>
    <col min="32" max="32" width="8.5703125" style="4" hidden="1" customWidth="1"/>
    <col min="33" max="33" width="19.7109375" style="4" customWidth="1"/>
    <col min="34" max="39" width="19" style="4" customWidth="1"/>
    <col min="40" max="40" width="11" style="4" customWidth="1"/>
    <col min="41" max="41" width="3.7109375" style="4" customWidth="1"/>
    <col min="42" max="42" width="11" style="4" customWidth="1"/>
    <col min="43" max="43" width="8.5703125" style="4" hidden="1" customWidth="1"/>
    <col min="44" max="44" width="4" style="4" customWidth="1"/>
    <col min="45" max="45" width="115" style="4" customWidth="1"/>
    <col min="46" max="50" width="10" style="46" customWidth="1"/>
    <col min="51" max="51" width="10.5703125" style="4" hidden="1"/>
  </cols>
  <sheetData>
    <row r="1" spans="5:51" ht="22.5" hidden="1" customHeight="1">
      <c r="AY1" s="4" t="s">
        <v>14</v>
      </c>
    </row>
    <row r="2" spans="5:51" ht="23.25" hidden="1" customHeight="1">
      <c r="E2" s="745">
        <v>1</v>
      </c>
      <c r="M2" s="43"/>
      <c r="N2" s="43"/>
      <c r="O2" s="43"/>
      <c r="Q2" s="4"/>
      <c r="R2" s="119"/>
      <c r="S2" s="24" t="e">
        <f>INDEX(PT_DIFFERENTIATION_NUM_NTAR,MATCH(A2,PT_DIFFERENTIATION_NTAR_ID,0))</f>
        <v>#N/A</v>
      </c>
      <c r="T2" s="29" t="s">
        <v>128</v>
      </c>
      <c r="U2" s="29"/>
      <c r="V2" s="742"/>
      <c r="W2" s="743"/>
      <c r="X2" s="743"/>
      <c r="Y2" s="743"/>
      <c r="Z2" s="743"/>
      <c r="AA2" s="743"/>
      <c r="AB2" s="743"/>
      <c r="AC2" s="743"/>
      <c r="AD2" s="743"/>
      <c r="AE2" s="743"/>
      <c r="AF2" s="744"/>
      <c r="AG2" s="742" t="e">
        <f>INDEX(PT_DIFFERENTIATION_NTAR,MATCH(A2,PT_DIFFERENTIATION_NTAR_ID,0))</f>
        <v>#N/A</v>
      </c>
      <c r="AH2" s="743"/>
      <c r="AI2" s="743"/>
      <c r="AJ2" s="743"/>
      <c r="AK2" s="743"/>
      <c r="AL2" s="743"/>
      <c r="AM2" s="743"/>
      <c r="AN2" s="743"/>
      <c r="AO2" s="743"/>
      <c r="AP2" s="743"/>
      <c r="AQ2" s="743"/>
      <c r="AR2" s="744"/>
      <c r="AS2" s="4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V2" s="46" t="str">
        <f t="shared" ref="AV2:AV13" si="0">IF(T2="","",T2)</f>
        <v>Наименование тарифа</v>
      </c>
      <c r="AY2" s="4">
        <v>0</v>
      </c>
    </row>
    <row r="3" spans="5:51" ht="23.25" hidden="1" customHeight="1">
      <c r="E3" s="747"/>
      <c r="F3" s="745">
        <v>1</v>
      </c>
      <c r="M3" s="43"/>
      <c r="N3" s="43"/>
      <c r="O3" s="43"/>
      <c r="P3" s="4"/>
      <c r="Q3" s="118"/>
      <c r="R3" s="119"/>
      <c r="S3" s="24" t="e">
        <f>INDEX(PT_DIFFERENTIATION_NUM_TER,MATCH(B3,PT_DIFFERENTIATION_TER_ID,0))</f>
        <v>#N/A</v>
      </c>
      <c r="T3" s="24" t="s">
        <v>400</v>
      </c>
      <c r="U3" s="29"/>
      <c r="V3" s="742"/>
      <c r="W3" s="743"/>
      <c r="X3" s="743"/>
      <c r="Y3" s="743"/>
      <c r="Z3" s="743"/>
      <c r="AA3" s="743"/>
      <c r="AB3" s="743"/>
      <c r="AC3" s="743"/>
      <c r="AD3" s="743"/>
      <c r="AE3" s="743"/>
      <c r="AF3" s="744"/>
      <c r="AG3" s="742" t="e">
        <f>INDEX(PT_DIFFERENTIATION_TER,MATCH(B3,PT_DIFFERENTIATION_TER_ID,0))</f>
        <v>#N/A</v>
      </c>
      <c r="AH3" s="743"/>
      <c r="AI3" s="743"/>
      <c r="AJ3" s="743"/>
      <c r="AK3" s="743"/>
      <c r="AL3" s="743"/>
      <c r="AM3" s="743"/>
      <c r="AN3" s="743"/>
      <c r="AO3" s="743"/>
      <c r="AP3" s="743"/>
      <c r="AQ3" s="743"/>
      <c r="AR3" s="744"/>
      <c r="AS3" s="428" t="s">
        <v>401</v>
      </c>
      <c r="AV3" s="46" t="str">
        <f t="shared" si="0"/>
        <v>Территория действия тарифа</v>
      </c>
      <c r="AY3" s="4">
        <v>0</v>
      </c>
    </row>
    <row r="4" spans="5:51" ht="23.25" hidden="1" customHeight="1">
      <c r="E4" s="747"/>
      <c r="F4" s="747"/>
      <c r="G4" s="745">
        <v>1</v>
      </c>
      <c r="M4" s="43"/>
      <c r="N4" s="43"/>
      <c r="O4" s="43"/>
      <c r="P4" s="16"/>
      <c r="Q4" s="118"/>
      <c r="R4" s="119"/>
      <c r="S4" s="24" t="e">
        <f>INDEX(PT_DIFFERENTIATION_NUM_CS,MATCH(C4,PT_DIFFERENTIATION_CS_ID,0))</f>
        <v>#N/A</v>
      </c>
      <c r="T4" s="24" t="s">
        <v>533</v>
      </c>
      <c r="U4" s="29"/>
      <c r="V4" s="742"/>
      <c r="W4" s="743"/>
      <c r="X4" s="743"/>
      <c r="Y4" s="743"/>
      <c r="Z4" s="743"/>
      <c r="AA4" s="743"/>
      <c r="AB4" s="743"/>
      <c r="AC4" s="743"/>
      <c r="AD4" s="743"/>
      <c r="AE4" s="743"/>
      <c r="AF4" s="744"/>
      <c r="AG4" s="742" t="e">
        <f>INDEX(PT_DIFFERENTIATION_CS,MATCH(C4,PT_DIFFERENTIATION_CS_ID,0))</f>
        <v>#N/A</v>
      </c>
      <c r="AH4" s="743"/>
      <c r="AI4" s="743"/>
      <c r="AJ4" s="743"/>
      <c r="AK4" s="743"/>
      <c r="AL4" s="743"/>
      <c r="AM4" s="743"/>
      <c r="AN4" s="743"/>
      <c r="AO4" s="743"/>
      <c r="AP4" s="743"/>
      <c r="AQ4" s="743"/>
      <c r="AR4" s="744"/>
      <c r="AS4" s="428" t="s">
        <v>534</v>
      </c>
      <c r="AV4" s="46" t="str">
        <f t="shared" si="0"/>
        <v>Наименование централизованной системы горячего водоснабжения</v>
      </c>
      <c r="AY4" s="4">
        <v>0</v>
      </c>
    </row>
    <row r="5" spans="5:51" ht="23.25" hidden="1" customHeight="1">
      <c r="E5" s="747"/>
      <c r="F5" s="747"/>
      <c r="G5" s="747"/>
      <c r="H5" s="747"/>
      <c r="I5" s="745" t="e">
        <f>S4&amp;".1"</f>
        <v>#N/A</v>
      </c>
      <c r="P5" s="748">
        <v>1</v>
      </c>
      <c r="Q5" s="46"/>
      <c r="R5" s="120"/>
      <c r="S5" s="24" t="e">
        <f>$I5</f>
        <v>#N/A</v>
      </c>
      <c r="T5" s="24" t="s">
        <v>486</v>
      </c>
      <c r="U5" s="29"/>
      <c r="V5" s="793"/>
      <c r="W5" s="794"/>
      <c r="X5" s="794"/>
      <c r="Y5" s="794"/>
      <c r="Z5" s="794"/>
      <c r="AA5" s="794"/>
      <c r="AB5" s="794"/>
      <c r="AC5" s="794"/>
      <c r="AD5" s="794"/>
      <c r="AE5" s="794"/>
      <c r="AF5" s="795"/>
      <c r="AG5" s="793"/>
      <c r="AH5" s="794"/>
      <c r="AI5" s="794"/>
      <c r="AJ5" s="794"/>
      <c r="AK5" s="794"/>
      <c r="AL5" s="794"/>
      <c r="AM5" s="794"/>
      <c r="AN5" s="794"/>
      <c r="AO5" s="794"/>
      <c r="AP5" s="794"/>
      <c r="AQ5" s="794"/>
      <c r="AR5" s="795"/>
      <c r="AS5" s="428" t="s">
        <v>487</v>
      </c>
      <c r="AV5" s="46" t="str">
        <f t="shared" si="0"/>
        <v>Наименование признака дифференциации</v>
      </c>
      <c r="AY5" s="4">
        <v>0</v>
      </c>
    </row>
    <row r="6" spans="5:51" ht="23.25" hidden="1" customHeight="1">
      <c r="E6" s="747"/>
      <c r="F6" s="747"/>
      <c r="G6" s="747"/>
      <c r="H6" s="747"/>
      <c r="I6" s="747"/>
      <c r="J6" s="745" t="e">
        <f>I5&amp;".1"</f>
        <v>#N/A</v>
      </c>
      <c r="L6" s="43" t="s">
        <v>409</v>
      </c>
      <c r="P6" s="748"/>
      <c r="Q6" s="748">
        <v>1</v>
      </c>
      <c r="R6" s="120"/>
      <c r="S6" s="24" t="e">
        <f>$J6</f>
        <v>#N/A</v>
      </c>
      <c r="T6" s="24" t="s">
        <v>410</v>
      </c>
      <c r="U6" s="29"/>
      <c r="V6" s="737"/>
      <c r="W6" s="738"/>
      <c r="X6" s="738"/>
      <c r="Y6" s="738"/>
      <c r="Z6" s="738"/>
      <c r="AA6" s="738"/>
      <c r="AB6" s="738"/>
      <c r="AC6" s="738"/>
      <c r="AD6" s="738"/>
      <c r="AE6" s="738"/>
      <c r="AF6" s="739"/>
      <c r="AG6" s="737"/>
      <c r="AH6" s="738"/>
      <c r="AI6" s="738"/>
      <c r="AJ6" s="738"/>
      <c r="AK6" s="738"/>
      <c r="AL6" s="738"/>
      <c r="AM6" s="738"/>
      <c r="AN6" s="738"/>
      <c r="AO6" s="738"/>
      <c r="AP6" s="738"/>
      <c r="AQ6" s="738"/>
      <c r="AR6" s="739"/>
      <c r="AS6" s="445" t="s">
        <v>488</v>
      </c>
      <c r="AV6" s="46" t="str">
        <f t="shared" si="0"/>
        <v>Группа потребителей</v>
      </c>
      <c r="AY6" s="4">
        <v>0</v>
      </c>
    </row>
    <row r="7" spans="5:51" ht="23.25" hidden="1" customHeight="1">
      <c r="E7" s="747"/>
      <c r="F7" s="747"/>
      <c r="G7" s="747"/>
      <c r="H7" s="747"/>
      <c r="I7" s="747"/>
      <c r="J7" s="747"/>
      <c r="K7" s="745" t="e">
        <f>J6&amp;".1"</f>
        <v>#N/A</v>
      </c>
      <c r="P7" s="748"/>
      <c r="Q7" s="748"/>
      <c r="R7" s="120">
        <v>1</v>
      </c>
      <c r="S7" s="24" t="e">
        <f>$K7</f>
        <v>#N/A</v>
      </c>
      <c r="T7" s="25"/>
      <c r="U7" s="29"/>
      <c r="V7" s="168"/>
      <c r="W7" s="168"/>
      <c r="X7" s="168"/>
      <c r="Y7" s="168"/>
      <c r="Z7" s="168"/>
      <c r="AA7" s="168"/>
      <c r="AB7" s="427"/>
      <c r="AC7" s="749"/>
      <c r="AD7" s="688" t="s">
        <v>66</v>
      </c>
      <c r="AE7" s="749"/>
      <c r="AF7" s="688" t="s">
        <v>66</v>
      </c>
      <c r="AG7" s="168"/>
      <c r="AH7" s="168"/>
      <c r="AI7" s="168"/>
      <c r="AJ7" s="168"/>
      <c r="AK7" s="168"/>
      <c r="AL7" s="168"/>
      <c r="AM7" s="427"/>
      <c r="AN7" s="749"/>
      <c r="AO7" s="688" t="s">
        <v>66</v>
      </c>
      <c r="AP7" s="750"/>
      <c r="AQ7" s="688" t="s">
        <v>66</v>
      </c>
      <c r="AR7" s="474"/>
      <c r="AS7" s="79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46" t="e">
        <f ca="1">STRCHECKDATE(V8:AR8)</f>
        <v>#NAME?</v>
      </c>
      <c r="AV7" s="46" t="str">
        <f t="shared" si="0"/>
        <v/>
      </c>
      <c r="AY7" s="4">
        <v>0</v>
      </c>
    </row>
    <row r="8" spans="5:51" ht="14.25" hidden="1" customHeight="1">
      <c r="E8" s="747"/>
      <c r="F8" s="747"/>
      <c r="G8" s="747"/>
      <c r="H8" s="747"/>
      <c r="I8" s="747"/>
      <c r="J8" s="747"/>
      <c r="K8" s="745"/>
      <c r="P8" s="748"/>
      <c r="Q8" s="748"/>
      <c r="R8" s="120"/>
      <c r="S8" s="31"/>
      <c r="T8" s="29"/>
      <c r="U8" s="29"/>
      <c r="V8" s="110"/>
      <c r="W8" s="110"/>
      <c r="X8" s="110"/>
      <c r="Y8" s="110"/>
      <c r="Z8" s="110"/>
      <c r="AA8" s="110"/>
      <c r="AB8" s="111" t="str">
        <f>AC7&amp;"-"&amp;AE7</f>
        <v>-</v>
      </c>
      <c r="AC8" s="707"/>
      <c r="AD8" s="688"/>
      <c r="AE8" s="707"/>
      <c r="AF8" s="688"/>
      <c r="AG8" s="110"/>
      <c r="AH8" s="110"/>
      <c r="AI8" s="110"/>
      <c r="AJ8" s="110"/>
      <c r="AK8" s="110"/>
      <c r="AL8" s="110"/>
      <c r="AM8" s="111" t="str">
        <f>AN7&amp;"-"&amp;AP7</f>
        <v>-</v>
      </c>
      <c r="AN8" s="707"/>
      <c r="AO8" s="688"/>
      <c r="AP8" s="751"/>
      <c r="AQ8" s="688"/>
      <c r="AR8" s="216"/>
      <c r="AS8" s="796"/>
      <c r="AV8" s="46" t="str">
        <f t="shared" si="0"/>
        <v/>
      </c>
      <c r="AY8" s="4">
        <v>0</v>
      </c>
    </row>
    <row r="9" spans="5:51" ht="21" hidden="1" customHeight="1">
      <c r="E9" s="747"/>
      <c r="F9" s="747"/>
      <c r="G9" s="747"/>
      <c r="H9" s="747"/>
      <c r="I9" s="747"/>
      <c r="J9" s="745"/>
      <c r="P9" s="748"/>
      <c r="Q9" s="748"/>
      <c r="R9" s="120"/>
      <c r="S9" s="434"/>
      <c r="T9" s="37" t="s">
        <v>489</v>
      </c>
      <c r="U9" s="58"/>
      <c r="V9" s="58"/>
      <c r="W9" s="58"/>
      <c r="X9" s="58"/>
      <c r="Y9" s="58"/>
      <c r="Z9" s="58"/>
      <c r="AA9" s="58"/>
      <c r="AB9" s="58"/>
      <c r="AC9" s="58"/>
      <c r="AD9" s="58"/>
      <c r="AE9" s="58"/>
      <c r="AF9" s="58"/>
      <c r="AG9" s="58"/>
      <c r="AH9" s="58"/>
      <c r="AI9" s="58"/>
      <c r="AJ9" s="58"/>
      <c r="AK9" s="58"/>
      <c r="AL9" s="58"/>
      <c r="AM9" s="58"/>
      <c r="AN9" s="58"/>
      <c r="AO9" s="58"/>
      <c r="AP9" s="58"/>
      <c r="AQ9" s="58"/>
      <c r="AR9" s="58"/>
      <c r="AS9" s="428" t="s">
        <v>490</v>
      </c>
      <c r="AV9" s="46" t="str">
        <f t="shared" si="0"/>
        <v>Добавить значение признака дифференциации</v>
      </c>
      <c r="AY9" s="4">
        <v>0</v>
      </c>
    </row>
    <row r="10" spans="5:51" ht="21" hidden="1" customHeight="1">
      <c r="E10" s="747"/>
      <c r="F10" s="747"/>
      <c r="G10" s="747"/>
      <c r="H10" s="747"/>
      <c r="I10" s="745"/>
      <c r="P10" s="748"/>
      <c r="Q10" s="46"/>
      <c r="R10" s="120"/>
      <c r="S10" s="434"/>
      <c r="T10" s="37" t="s">
        <v>415</v>
      </c>
      <c r="U10" s="58"/>
      <c r="V10" s="58"/>
      <c r="W10" s="58"/>
      <c r="X10" s="58"/>
      <c r="Y10" s="58"/>
      <c r="Z10" s="58"/>
      <c r="AA10" s="58"/>
      <c r="AB10" s="58"/>
      <c r="AC10" s="58"/>
      <c r="AD10" s="58"/>
      <c r="AE10" s="58"/>
      <c r="AF10" s="54"/>
      <c r="AG10" s="58"/>
      <c r="AH10" s="58"/>
      <c r="AI10" s="58"/>
      <c r="AJ10" s="58"/>
      <c r="AK10" s="58"/>
      <c r="AL10" s="58"/>
      <c r="AM10" s="58"/>
      <c r="AN10" s="58"/>
      <c r="AO10" s="58"/>
      <c r="AP10" s="58"/>
      <c r="AQ10" s="54"/>
      <c r="AR10" s="58"/>
      <c r="AS10" s="475"/>
      <c r="AV10" s="46" t="str">
        <f t="shared" si="0"/>
        <v>Добавить группу потребителей</v>
      </c>
      <c r="AY10" s="4">
        <v>0</v>
      </c>
    </row>
    <row r="11" spans="5:51" ht="21" hidden="1" customHeight="1">
      <c r="E11" s="747"/>
      <c r="F11" s="747"/>
      <c r="G11" s="747"/>
      <c r="H11" s="745"/>
      <c r="M11" s="43"/>
      <c r="N11" s="43"/>
      <c r="O11" s="43"/>
      <c r="P11" s="4"/>
      <c r="R11" s="119"/>
      <c r="S11" s="434"/>
      <c r="T11" s="37" t="s">
        <v>491</v>
      </c>
      <c r="U11" s="58"/>
      <c r="V11" s="58"/>
      <c r="W11" s="58"/>
      <c r="X11" s="58"/>
      <c r="Y11" s="58"/>
      <c r="Z11" s="58"/>
      <c r="AA11" s="58"/>
      <c r="AB11" s="58"/>
      <c r="AC11" s="58"/>
      <c r="AD11" s="58"/>
      <c r="AE11" s="58"/>
      <c r="AF11" s="54"/>
      <c r="AG11" s="58"/>
      <c r="AH11" s="58"/>
      <c r="AI11" s="58"/>
      <c r="AJ11" s="58"/>
      <c r="AK11" s="58"/>
      <c r="AL11" s="58"/>
      <c r="AM11" s="58"/>
      <c r="AN11" s="58"/>
      <c r="AO11" s="58"/>
      <c r="AP11" s="58"/>
      <c r="AQ11" s="54"/>
      <c r="AR11" s="58"/>
      <c r="AS11" s="102"/>
      <c r="AV11" s="46" t="str">
        <f t="shared" si="0"/>
        <v>Добавить наименование признака дифференциации</v>
      </c>
      <c r="AY11" s="4">
        <v>0</v>
      </c>
    </row>
    <row r="12" spans="5:51" s="46" customFormat="1" ht="14.25" hidden="1" customHeight="1">
      <c r="E12" s="747"/>
      <c r="F12" s="745"/>
      <c r="M12" s="160"/>
      <c r="N12" s="160"/>
      <c r="Q12" s="446"/>
      <c r="S12" s="449"/>
      <c r="T12" s="160" t="s">
        <v>418</v>
      </c>
      <c r="U12" s="160"/>
      <c r="V12" s="160"/>
      <c r="W12" s="160"/>
      <c r="X12" s="160"/>
      <c r="Y12" s="160"/>
      <c r="Z12" s="160"/>
      <c r="AA12" s="160"/>
      <c r="AB12" s="160"/>
      <c r="AC12" s="160"/>
      <c r="AD12" s="160"/>
      <c r="AE12" s="160"/>
      <c r="AF12" s="160"/>
      <c r="AG12" s="160"/>
      <c r="AH12" s="160"/>
      <c r="AI12" s="160"/>
      <c r="AJ12" s="160"/>
      <c r="AK12" s="160"/>
      <c r="AL12" s="160"/>
      <c r="AM12" s="160"/>
      <c r="AN12" s="160"/>
      <c r="AO12" s="160"/>
      <c r="AP12" s="160"/>
      <c r="AQ12" s="160"/>
      <c r="AR12" s="160"/>
      <c r="AS12" s="160"/>
      <c r="AV12" s="46" t="str">
        <f t="shared" si="0"/>
        <v>Добавить централизованную систему для дифференциации</v>
      </c>
      <c r="AY12" s="46">
        <v>0</v>
      </c>
    </row>
    <row r="13" spans="5:51" s="46" customFormat="1" ht="14.25" hidden="1" customHeight="1">
      <c r="E13" s="745"/>
      <c r="M13" s="160"/>
      <c r="N13" s="160"/>
      <c r="Q13" s="446"/>
      <c r="S13" s="449"/>
      <c r="T13" s="160" t="s">
        <v>419</v>
      </c>
      <c r="U13" s="160"/>
      <c r="V13" s="160"/>
      <c r="W13" s="160"/>
      <c r="X13" s="160"/>
      <c r="Y13" s="160"/>
      <c r="Z13" s="160"/>
      <c r="AA13" s="160"/>
      <c r="AB13" s="160"/>
      <c r="AC13" s="160"/>
      <c r="AD13" s="160"/>
      <c r="AE13" s="160"/>
      <c r="AF13" s="160"/>
      <c r="AG13" s="160"/>
      <c r="AH13" s="160"/>
      <c r="AI13" s="160"/>
      <c r="AJ13" s="160"/>
      <c r="AK13" s="160"/>
      <c r="AL13" s="160"/>
      <c r="AM13" s="160"/>
      <c r="AN13" s="160"/>
      <c r="AO13" s="160"/>
      <c r="AP13" s="160"/>
      <c r="AQ13" s="160"/>
      <c r="AR13" s="160"/>
      <c r="AS13" s="160"/>
      <c r="AV13" s="46" t="str">
        <f t="shared" si="0"/>
        <v>Добавить территорию для дифференциации</v>
      </c>
      <c r="AY13" s="46">
        <v>0</v>
      </c>
    </row>
    <row r="14" spans="5:51" ht="14.25" hidden="1" customHeight="1">
      <c r="AY14" s="4">
        <v>0</v>
      </c>
    </row>
    <row r="15" spans="5:51" ht="14.25" hidden="1" customHeight="1">
      <c r="AG15" s="205"/>
      <c r="AH15" s="205"/>
      <c r="AI15" s="205"/>
      <c r="AJ15" s="205"/>
      <c r="AK15" s="205"/>
      <c r="AL15" s="205"/>
      <c r="AM15" s="451"/>
      <c r="AN15" s="746"/>
      <c r="AO15" s="745" t="s">
        <v>66</v>
      </c>
      <c r="AP15" s="746"/>
      <c r="AQ15" s="745" t="s">
        <v>66</v>
      </c>
      <c r="AY15" s="4">
        <v>0</v>
      </c>
    </row>
    <row r="16" spans="5:51" ht="14.25" hidden="1" customHeight="1">
      <c r="AG16" s="205"/>
      <c r="AH16" s="205"/>
      <c r="AI16" s="205"/>
      <c r="AJ16" s="205"/>
      <c r="AK16" s="205"/>
      <c r="AL16" s="205"/>
      <c r="AM16" s="111" t="str">
        <f>AN15&amp;"-"&amp;AP15</f>
        <v>-</v>
      </c>
      <c r="AN16" s="745"/>
      <c r="AO16" s="745"/>
      <c r="AP16" s="745"/>
      <c r="AQ16" s="745"/>
      <c r="AY16" s="4">
        <v>0</v>
      </c>
    </row>
    <row r="17" spans="1:51" ht="14.25" hidden="1" customHeight="1">
      <c r="AY17" s="4">
        <v>0</v>
      </c>
    </row>
    <row r="18" spans="1:51" s="43" customFormat="1" ht="22.5" hidden="1" customHeight="1">
      <c r="M18" s="167"/>
      <c r="N18" s="167"/>
      <c r="O18" s="261" t="s">
        <v>420</v>
      </c>
      <c r="P18" s="167"/>
      <c r="Q18" s="452"/>
      <c r="R18" s="452"/>
      <c r="AC18" s="261"/>
      <c r="AE18" s="261"/>
      <c r="AN18" s="261"/>
      <c r="AP18" s="261"/>
      <c r="AT18" s="46"/>
      <c r="AU18" s="46"/>
      <c r="AV18" s="46"/>
      <c r="AW18" s="46"/>
      <c r="AX18" s="46"/>
      <c r="AY18" s="43">
        <v>0</v>
      </c>
    </row>
    <row r="19" spans="1:51" s="43" customFormat="1" ht="14.25" hidden="1" customHeight="1">
      <c r="M19" s="167"/>
      <c r="N19" s="167"/>
      <c r="O19" s="167"/>
      <c r="P19" s="167"/>
      <c r="Q19" s="452"/>
      <c r="R19" s="452"/>
      <c r="AT19" s="46"/>
      <c r="AU19" s="46"/>
      <c r="AV19" s="46"/>
      <c r="AW19" s="46"/>
      <c r="AX19" s="46"/>
      <c r="AY19" s="43">
        <v>0</v>
      </c>
    </row>
    <row r="20" spans="1:51" s="43" customFormat="1" ht="12" hidden="1" customHeight="1">
      <c r="M20" s="167"/>
      <c r="N20" s="167"/>
      <c r="O20" s="43" t="s">
        <v>421</v>
      </c>
      <c r="P20" s="167"/>
      <c r="Q20" s="476"/>
      <c r="R20" s="476"/>
      <c r="T20" s="43" t="s">
        <v>422</v>
      </c>
      <c r="AD20" s="43" t="s">
        <v>423</v>
      </c>
      <c r="AF20" s="43" t="s">
        <v>424</v>
      </c>
      <c r="AG20" s="43" t="s">
        <v>422</v>
      </c>
      <c r="AO20" s="43" t="s">
        <v>425</v>
      </c>
      <c r="AQ20" s="43" t="s">
        <v>424</v>
      </c>
      <c r="AY20" s="43">
        <v>0</v>
      </c>
    </row>
    <row r="21" spans="1:51" ht="14.25" hidden="1" customHeight="1">
      <c r="O21" s="43"/>
      <c r="AY21" s="4">
        <v>0</v>
      </c>
    </row>
    <row r="22" spans="1:51" ht="14.25" hidden="1" customHeight="1">
      <c r="O22" s="43"/>
      <c r="AY22" s="4">
        <v>0</v>
      </c>
    </row>
    <row r="23" spans="1:51" ht="14.65" customHeight="1">
      <c r="Q23" s="19"/>
      <c r="R23" s="19"/>
      <c r="S23" s="6"/>
      <c r="T23" s="6"/>
      <c r="U23" s="6"/>
      <c r="AY23" s="4">
        <v>14</v>
      </c>
    </row>
    <row r="24" spans="1:51" ht="26.25" customHeight="1">
      <c r="Q24" s="19"/>
      <c r="R24" s="19"/>
      <c r="S24" s="697"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697"/>
      <c r="U24" s="697"/>
      <c r="V24" s="697"/>
      <c r="W24" s="697"/>
      <c r="X24" s="697"/>
      <c r="Y24" s="697"/>
      <c r="Z24" s="697"/>
      <c r="AA24" s="697"/>
      <c r="AB24" s="697"/>
      <c r="AC24" s="697"/>
      <c r="AD24" s="697"/>
      <c r="AE24" s="697"/>
      <c r="AF24" s="697"/>
      <c r="AG24" s="697"/>
      <c r="AH24" s="697"/>
      <c r="AI24" s="697"/>
      <c r="AJ24" s="697"/>
      <c r="AK24" s="697"/>
      <c r="AL24" s="697"/>
      <c r="AM24" s="697"/>
      <c r="AN24" s="697"/>
      <c r="AO24" s="697"/>
      <c r="AP24" s="697"/>
      <c r="AQ24" s="40"/>
      <c r="AY24" s="4">
        <v>25</v>
      </c>
    </row>
    <row r="25" spans="1:51" ht="14.65" customHeight="1">
      <c r="Q25" s="19"/>
      <c r="R25" s="19"/>
      <c r="S25" s="712" t="str">
        <f>IF(org=0,"Не определено",org)</f>
        <v>ООО "Восточная Тепловая компания"</v>
      </c>
      <c r="T25" s="712"/>
      <c r="U25" s="712"/>
      <c r="V25" s="712"/>
      <c r="W25" s="712"/>
      <c r="X25" s="712"/>
      <c r="Y25" s="712"/>
      <c r="Z25" s="712"/>
      <c r="AA25" s="712"/>
      <c r="AB25" s="712"/>
      <c r="AC25" s="712"/>
      <c r="AD25" s="712"/>
      <c r="AE25" s="712"/>
      <c r="AF25" s="712"/>
      <c r="AG25" s="712"/>
      <c r="AH25" s="712"/>
      <c r="AI25" s="712"/>
      <c r="AJ25" s="712"/>
      <c r="AK25" s="712"/>
      <c r="AL25" s="712"/>
      <c r="AM25" s="712"/>
      <c r="AN25" s="712"/>
      <c r="AO25" s="712"/>
      <c r="AP25" s="712"/>
      <c r="AQ25" s="40"/>
      <c r="AY25" s="4">
        <v>14</v>
      </c>
    </row>
    <row r="26" spans="1:51" ht="14.25" hidden="1" customHeight="1">
      <c r="Q26" s="19"/>
      <c r="R26" s="19"/>
      <c r="S26" s="6"/>
      <c r="T26" s="6"/>
      <c r="U26" s="6"/>
      <c r="V26" s="109"/>
      <c r="W26" s="109"/>
      <c r="X26" s="109"/>
      <c r="Y26" s="109"/>
      <c r="Z26" s="109"/>
      <c r="AA26" s="109"/>
      <c r="AB26" s="109"/>
      <c r="AC26" s="109"/>
      <c r="AD26" s="109"/>
      <c r="AE26" s="109"/>
      <c r="AF26" s="109"/>
      <c r="AG26" s="109"/>
      <c r="AH26" s="109"/>
      <c r="AI26" s="109"/>
      <c r="AJ26" s="109"/>
      <c r="AK26" s="109"/>
      <c r="AL26" s="109"/>
      <c r="AM26" s="109"/>
      <c r="AN26" s="109"/>
      <c r="AO26" s="109"/>
      <c r="AP26" s="109"/>
      <c r="AQ26" s="109"/>
      <c r="AY26" s="4">
        <v>0</v>
      </c>
    </row>
    <row r="27" spans="1:51" s="22" customFormat="1" ht="25.5" hidden="1" customHeight="1">
      <c r="A27" s="43"/>
      <c r="B27" s="43"/>
      <c r="C27" s="43"/>
      <c r="D27" s="43"/>
      <c r="E27" s="43"/>
      <c r="F27" s="43"/>
      <c r="G27" s="43"/>
      <c r="H27" s="43"/>
      <c r="I27" s="43"/>
      <c r="J27" s="43"/>
      <c r="K27" s="43"/>
      <c r="L27" s="43"/>
      <c r="M27" s="43"/>
      <c r="N27" s="43"/>
      <c r="O27" s="43"/>
      <c r="S27" s="721" t="s">
        <v>42</v>
      </c>
      <c r="T27" s="721"/>
      <c r="U27" s="453"/>
      <c r="V27" s="741" t="str">
        <f>IF(TITLE_NAME_OR_PR_CHANGE="",IF(TITLE_NAME_OR_PR="","",TITLE_NAME_OR_PR),TITLE_NAME_OR_PR_CHANGE)</f>
        <v/>
      </c>
      <c r="W27" s="741"/>
      <c r="X27" s="741"/>
      <c r="Y27" s="741"/>
      <c r="Z27" s="741"/>
      <c r="AA27" s="741"/>
      <c r="AB27" s="741"/>
      <c r="AC27" s="741"/>
      <c r="AD27" s="741"/>
      <c r="AE27" s="741"/>
      <c r="AF27" s="4"/>
      <c r="AG27" s="741" t="str">
        <f>IF(TITLE_NAME_OR_PR_CHANGE="",IF(TITLE_NAME_OR_PR="","",TITLE_NAME_OR_PR),TITLE_NAME_OR_PR_CHANGE)</f>
        <v/>
      </c>
      <c r="AH27" s="741"/>
      <c r="AI27" s="741"/>
      <c r="AJ27" s="741"/>
      <c r="AK27" s="741"/>
      <c r="AL27" s="741"/>
      <c r="AM27" s="741"/>
      <c r="AN27" s="741"/>
      <c r="AO27" s="741"/>
      <c r="AP27" s="741"/>
      <c r="AQ27" s="4"/>
      <c r="AR27" s="4"/>
      <c r="AS27" s="96"/>
      <c r="AT27" s="46"/>
      <c r="AU27" s="46"/>
      <c r="AV27" s="46"/>
      <c r="AW27" s="46"/>
      <c r="AX27" s="46"/>
      <c r="AY27" s="22">
        <v>0</v>
      </c>
    </row>
    <row r="28" spans="1:51" s="22" customFormat="1" ht="18.75" hidden="1" customHeight="1">
      <c r="A28" s="43"/>
      <c r="B28" s="43"/>
      <c r="C28" s="43"/>
      <c r="D28" s="43"/>
      <c r="E28" s="43"/>
      <c r="F28" s="43"/>
      <c r="G28" s="43"/>
      <c r="H28" s="43"/>
      <c r="I28" s="43"/>
      <c r="J28" s="43"/>
      <c r="K28" s="43"/>
      <c r="L28" s="43"/>
      <c r="M28" s="43"/>
      <c r="N28" s="43"/>
      <c r="O28" s="43"/>
      <c r="S28" s="721" t="s">
        <v>426</v>
      </c>
      <c r="T28" s="721"/>
      <c r="U28" s="453"/>
      <c r="V28" s="740" t="str">
        <f>IF(TITLE_DATE_PR_CHANGE="",IF(TITLE_DATE_PR="","",TITLE_DATE_PR),TITLE_DATE_PR_CHANGE)</f>
        <v/>
      </c>
      <c r="W28" s="740"/>
      <c r="X28" s="740"/>
      <c r="Y28" s="740"/>
      <c r="Z28" s="740"/>
      <c r="AA28" s="740"/>
      <c r="AB28" s="740"/>
      <c r="AC28" s="740"/>
      <c r="AD28" s="740"/>
      <c r="AE28" s="740"/>
      <c r="AF28" s="4"/>
      <c r="AG28" s="740" t="str">
        <f>IF(TITLE_DATE_PR_CHANGE="",IF(TITLE_DATE_PR="","",TITLE_DATE_PR),TITLE_DATE_PR_CHANGE)</f>
        <v/>
      </c>
      <c r="AH28" s="740"/>
      <c r="AI28" s="740"/>
      <c r="AJ28" s="740"/>
      <c r="AK28" s="740"/>
      <c r="AL28" s="740"/>
      <c r="AM28" s="740"/>
      <c r="AN28" s="740"/>
      <c r="AO28" s="740"/>
      <c r="AP28" s="740"/>
      <c r="AQ28" s="4"/>
      <c r="AR28" s="4"/>
      <c r="AS28" s="96"/>
      <c r="AT28" s="46"/>
      <c r="AU28" s="46"/>
      <c r="AV28" s="46"/>
      <c r="AW28" s="46"/>
      <c r="AX28" s="46"/>
      <c r="AY28" s="22">
        <v>0</v>
      </c>
    </row>
    <row r="29" spans="1:51" s="22" customFormat="1" ht="18.75" hidden="1" customHeight="1">
      <c r="A29" s="43"/>
      <c r="B29" s="43"/>
      <c r="C29" s="43"/>
      <c r="D29" s="43"/>
      <c r="E29" s="43"/>
      <c r="F29" s="43"/>
      <c r="G29" s="43"/>
      <c r="H29" s="43"/>
      <c r="I29" s="43"/>
      <c r="J29" s="43"/>
      <c r="K29" s="43"/>
      <c r="L29" s="43"/>
      <c r="M29" s="43"/>
      <c r="N29" s="43"/>
      <c r="O29" s="43"/>
      <c r="S29" s="721" t="s">
        <v>427</v>
      </c>
      <c r="T29" s="721"/>
      <c r="U29" s="453"/>
      <c r="V29" s="741" t="str">
        <f>IF(TITLE_NUMBER_PR_CHANGE="",IF(TITLE_NUMBER_PR="","",TITLE_NUMBER_PR),TITLE_NUMBER_PR_CHANGE)</f>
        <v/>
      </c>
      <c r="W29" s="741"/>
      <c r="X29" s="741"/>
      <c r="Y29" s="741"/>
      <c r="Z29" s="741"/>
      <c r="AA29" s="741"/>
      <c r="AB29" s="741"/>
      <c r="AC29" s="741"/>
      <c r="AD29" s="741"/>
      <c r="AE29" s="741"/>
      <c r="AF29" s="4"/>
      <c r="AG29" s="741" t="str">
        <f>IF(TITLE_NUMBER_PR_CHANGE="",IF(TITLE_NUMBER_PR="","",TITLE_NUMBER_PR),TITLE_NUMBER_PR_CHANGE)</f>
        <v/>
      </c>
      <c r="AH29" s="741"/>
      <c r="AI29" s="741"/>
      <c r="AJ29" s="741"/>
      <c r="AK29" s="741"/>
      <c r="AL29" s="741"/>
      <c r="AM29" s="741"/>
      <c r="AN29" s="741"/>
      <c r="AO29" s="741"/>
      <c r="AP29" s="741"/>
      <c r="AQ29" s="4"/>
      <c r="AR29" s="4"/>
      <c r="AS29" s="96"/>
      <c r="AT29" s="46"/>
      <c r="AU29" s="46"/>
      <c r="AV29" s="46"/>
      <c r="AW29" s="46"/>
      <c r="AX29" s="46"/>
      <c r="AY29" s="22">
        <v>0</v>
      </c>
    </row>
    <row r="30" spans="1:51" s="22" customFormat="1" ht="18.75" hidden="1" customHeight="1">
      <c r="A30" s="43"/>
      <c r="B30" s="43"/>
      <c r="C30" s="43"/>
      <c r="D30" s="43"/>
      <c r="E30" s="43"/>
      <c r="F30" s="43"/>
      <c r="G30" s="43"/>
      <c r="H30" s="43"/>
      <c r="I30" s="43"/>
      <c r="J30" s="43"/>
      <c r="K30" s="43"/>
      <c r="L30" s="43"/>
      <c r="M30" s="43"/>
      <c r="N30" s="43"/>
      <c r="O30" s="43"/>
      <c r="S30" s="721" t="s">
        <v>43</v>
      </c>
      <c r="T30" s="721"/>
      <c r="U30" s="453"/>
      <c r="V30" s="741" t="str">
        <f>IF(TITLE_IST_PUB_CHANGE="",IF(TITLE_IST_PUB="","",TITLE_IST_PUB),TITLE_IST_PUB_CHANGE)</f>
        <v/>
      </c>
      <c r="W30" s="741"/>
      <c r="X30" s="741"/>
      <c r="Y30" s="741"/>
      <c r="Z30" s="741"/>
      <c r="AA30" s="741"/>
      <c r="AB30" s="741"/>
      <c r="AC30" s="741"/>
      <c r="AD30" s="741"/>
      <c r="AE30" s="741"/>
      <c r="AF30" s="4"/>
      <c r="AG30" s="741" t="str">
        <f>IF(TITLE_IST_PUB_CHANGE="",IF(TITLE_IST_PUB="","",TITLE_IST_PUB),TITLE_IST_PUB_CHANGE)</f>
        <v/>
      </c>
      <c r="AH30" s="741"/>
      <c r="AI30" s="741"/>
      <c r="AJ30" s="741"/>
      <c r="AK30" s="741"/>
      <c r="AL30" s="741"/>
      <c r="AM30" s="741"/>
      <c r="AN30" s="741"/>
      <c r="AO30" s="741"/>
      <c r="AP30" s="741"/>
      <c r="AQ30" s="4"/>
      <c r="AR30" s="4"/>
      <c r="AS30" s="96"/>
      <c r="AT30" s="46"/>
      <c r="AU30" s="46"/>
      <c r="AV30" s="46"/>
      <c r="AW30" s="46"/>
      <c r="AX30" s="46"/>
      <c r="AY30" s="22">
        <v>0</v>
      </c>
    </row>
    <row r="31" spans="1:51" ht="14.25" hidden="1" customHeight="1">
      <c r="Q31" s="19"/>
      <c r="R31" s="19"/>
      <c r="S31" s="6"/>
      <c r="T31" s="6"/>
      <c r="U31" s="6"/>
      <c r="V31" s="109"/>
      <c r="W31" s="109"/>
      <c r="X31" s="109"/>
      <c r="Y31" s="109"/>
      <c r="Z31" s="109"/>
      <c r="AA31" s="109"/>
      <c r="AB31" s="109"/>
      <c r="AC31" s="109"/>
      <c r="AD31" s="109"/>
      <c r="AE31" s="109"/>
      <c r="AF31" s="109"/>
      <c r="AG31" s="109"/>
      <c r="AH31" s="109"/>
      <c r="AI31" s="109"/>
      <c r="AJ31" s="109"/>
      <c r="AK31" s="109"/>
      <c r="AL31" s="109"/>
      <c r="AM31" s="109"/>
      <c r="AN31" s="109"/>
      <c r="AO31" s="109"/>
      <c r="AP31" s="109"/>
      <c r="AQ31" s="109"/>
      <c r="AY31" s="4">
        <v>0</v>
      </c>
    </row>
    <row r="32" spans="1:51" s="22" customFormat="1" ht="18.75" hidden="1" customHeight="1">
      <c r="A32" s="43"/>
      <c r="B32" s="43"/>
      <c r="C32" s="43"/>
      <c r="D32" s="43"/>
      <c r="E32" s="43"/>
      <c r="F32" s="43"/>
      <c r="G32" s="43"/>
      <c r="H32" s="43"/>
      <c r="I32" s="43"/>
      <c r="J32" s="43"/>
      <c r="K32" s="43"/>
      <c r="L32" s="43"/>
      <c r="M32" s="43"/>
      <c r="N32" s="43"/>
      <c r="O32" s="43"/>
      <c r="S32" s="721" t="s">
        <v>428</v>
      </c>
      <c r="T32" s="721"/>
      <c r="U32" s="453"/>
      <c r="V32" s="740" t="str">
        <f>IF(TITLE_DATE_PR_CHANGE="",IF(TITLE_DATE_PR="","",TITLE_DATE_PR),TITLE_DATE_PR_CHANGE)</f>
        <v/>
      </c>
      <c r="W32" s="740"/>
      <c r="X32" s="740"/>
      <c r="Y32" s="740"/>
      <c r="Z32" s="740"/>
      <c r="AA32" s="740"/>
      <c r="AB32" s="740"/>
      <c r="AC32" s="740"/>
      <c r="AD32" s="740"/>
      <c r="AE32" s="740"/>
      <c r="AF32" s="4"/>
      <c r="AG32" s="740" t="str">
        <f>IF(TITLE_DATE_PR_CHANGE="",IF(TITLE_DATE_PR="","",TITLE_DATE_PR),TITLE_DATE_PR_CHANGE)</f>
        <v/>
      </c>
      <c r="AH32" s="740"/>
      <c r="AI32" s="740"/>
      <c r="AJ32" s="740"/>
      <c r="AK32" s="740"/>
      <c r="AL32" s="740"/>
      <c r="AM32" s="740"/>
      <c r="AN32" s="740"/>
      <c r="AO32" s="740"/>
      <c r="AP32" s="740"/>
      <c r="AQ32" s="4"/>
      <c r="AR32" s="4"/>
      <c r="AS32" s="96"/>
      <c r="AT32" s="46"/>
      <c r="AU32" s="46"/>
      <c r="AV32" s="46"/>
      <c r="AW32" s="46"/>
      <c r="AX32" s="46"/>
      <c r="AY32" s="22">
        <v>0</v>
      </c>
    </row>
    <row r="33" spans="1:51" s="22" customFormat="1" ht="18.75" hidden="1" customHeight="1">
      <c r="A33" s="43"/>
      <c r="B33" s="43"/>
      <c r="C33" s="43"/>
      <c r="D33" s="43"/>
      <c r="E33" s="43"/>
      <c r="F33" s="43"/>
      <c r="G33" s="43"/>
      <c r="H33" s="43"/>
      <c r="I33" s="43"/>
      <c r="J33" s="43"/>
      <c r="K33" s="43"/>
      <c r="L33" s="43"/>
      <c r="M33" s="43"/>
      <c r="N33" s="43"/>
      <c r="O33" s="43"/>
      <c r="S33" s="721" t="s">
        <v>429</v>
      </c>
      <c r="T33" s="721"/>
      <c r="U33" s="453"/>
      <c r="V33" s="741" t="str">
        <f>IF(TITLE_NUMBER_PR_CHANGE="",IF(TITLE_NUMBER_PR="","",TITLE_NUMBER_PR),TITLE_NUMBER_PR_CHANGE)</f>
        <v/>
      </c>
      <c r="W33" s="741"/>
      <c r="X33" s="741"/>
      <c r="Y33" s="741"/>
      <c r="Z33" s="741"/>
      <c r="AA33" s="741"/>
      <c r="AB33" s="741"/>
      <c r="AC33" s="741"/>
      <c r="AD33" s="741"/>
      <c r="AE33" s="741"/>
      <c r="AF33" s="4"/>
      <c r="AG33" s="741" t="str">
        <f>IF(TITLE_NUMBER_PR_CHANGE="",IF(TITLE_NUMBER_PR="","",TITLE_NUMBER_PR),TITLE_NUMBER_PR_CHANGE)</f>
        <v/>
      </c>
      <c r="AH33" s="741"/>
      <c r="AI33" s="741"/>
      <c r="AJ33" s="741"/>
      <c r="AK33" s="741"/>
      <c r="AL33" s="741"/>
      <c r="AM33" s="741"/>
      <c r="AN33" s="741"/>
      <c r="AO33" s="741"/>
      <c r="AP33" s="741"/>
      <c r="AQ33" s="4"/>
      <c r="AR33" s="4"/>
      <c r="AS33" s="96"/>
      <c r="AT33" s="46"/>
      <c r="AU33" s="46"/>
      <c r="AV33" s="46"/>
      <c r="AW33" s="46"/>
      <c r="AX33" s="46"/>
      <c r="AY33" s="22">
        <v>0</v>
      </c>
    </row>
    <row r="34" spans="1:51" s="22" customFormat="1" ht="1.1499999999999999" customHeight="1">
      <c r="A34" s="43"/>
      <c r="B34" s="43"/>
      <c r="C34" s="43"/>
      <c r="D34" s="43"/>
      <c r="E34" s="43"/>
      <c r="F34" s="43"/>
      <c r="G34" s="43"/>
      <c r="H34" s="43"/>
      <c r="I34" s="43"/>
      <c r="J34" s="43"/>
      <c r="K34" s="43"/>
      <c r="L34" s="43"/>
      <c r="M34" s="43"/>
      <c r="N34" s="43"/>
      <c r="O34" s="43"/>
      <c r="S34" s="4"/>
      <c r="T34" s="4"/>
      <c r="U34" s="4"/>
      <c r="V34" s="4"/>
      <c r="W34" s="4"/>
      <c r="X34" s="4"/>
      <c r="Y34" s="4"/>
      <c r="Z34" s="4"/>
      <c r="AA34" s="4"/>
      <c r="AB34" s="4"/>
      <c r="AC34" s="4"/>
      <c r="AD34" s="4"/>
      <c r="AE34" s="4"/>
      <c r="AF34" s="46" t="s">
        <v>430</v>
      </c>
      <c r="AG34" s="4"/>
      <c r="AH34" s="4"/>
      <c r="AI34" s="4"/>
      <c r="AJ34" s="4"/>
      <c r="AK34" s="4"/>
      <c r="AL34" s="4"/>
      <c r="AM34" s="4"/>
      <c r="AN34" s="4"/>
      <c r="AO34" s="4"/>
      <c r="AP34" s="4"/>
      <c r="AQ34" s="46" t="s">
        <v>430</v>
      </c>
      <c r="AT34" s="46"/>
      <c r="AU34" s="46"/>
      <c r="AV34" s="46"/>
      <c r="AW34" s="46"/>
      <c r="AX34" s="46"/>
      <c r="AY34" s="22">
        <v>1</v>
      </c>
    </row>
    <row r="35" spans="1:51" ht="14.65" customHeight="1">
      <c r="Q35" s="19"/>
      <c r="R35" s="19"/>
      <c r="S35" s="6"/>
      <c r="T35" s="6"/>
      <c r="U35" s="420"/>
      <c r="V35" s="755"/>
      <c r="W35" s="755"/>
      <c r="X35" s="755"/>
      <c r="Y35" s="755"/>
      <c r="Z35" s="755"/>
      <c r="AA35" s="755"/>
      <c r="AB35" s="755"/>
      <c r="AC35" s="755"/>
      <c r="AD35" s="755"/>
      <c r="AE35" s="755"/>
      <c r="AF35" s="755"/>
      <c r="AG35" s="755"/>
      <c r="AH35" s="755"/>
      <c r="AI35" s="755"/>
      <c r="AJ35" s="755"/>
      <c r="AK35" s="755"/>
      <c r="AL35" s="755"/>
      <c r="AM35" s="755"/>
      <c r="AN35" s="755"/>
      <c r="AO35" s="755"/>
      <c r="AP35" s="755"/>
      <c r="AQ35" s="755"/>
      <c r="AY35" s="4">
        <v>14</v>
      </c>
    </row>
    <row r="36" spans="1:51" ht="14.65" customHeight="1">
      <c r="Q36" s="19"/>
      <c r="R36" s="19"/>
      <c r="S36" s="679" t="s">
        <v>303</v>
      </c>
      <c r="T36" s="679"/>
      <c r="U36" s="679"/>
      <c r="V36" s="679"/>
      <c r="W36" s="679"/>
      <c r="X36" s="679"/>
      <c r="Y36" s="679"/>
      <c r="Z36" s="679"/>
      <c r="AA36" s="679"/>
      <c r="AB36" s="679"/>
      <c r="AC36" s="679"/>
      <c r="AD36" s="679"/>
      <c r="AE36" s="679"/>
      <c r="AF36" s="679"/>
      <c r="AG36" s="679"/>
      <c r="AH36" s="679"/>
      <c r="AI36" s="679"/>
      <c r="AJ36" s="679"/>
      <c r="AK36" s="679"/>
      <c r="AL36" s="679"/>
      <c r="AM36" s="679"/>
      <c r="AN36" s="679"/>
      <c r="AO36" s="679"/>
      <c r="AP36" s="679"/>
      <c r="AQ36" s="679"/>
      <c r="AR36" s="679"/>
      <c r="AS36" s="679" t="s">
        <v>304</v>
      </c>
      <c r="AY36" s="4">
        <v>14</v>
      </c>
    </row>
    <row r="37" spans="1:51" ht="14.65" customHeight="1">
      <c r="Q37" s="19"/>
      <c r="R37" s="19"/>
      <c r="S37" s="722" t="s">
        <v>88</v>
      </c>
      <c r="T37" s="722" t="s">
        <v>431</v>
      </c>
      <c r="U37" s="100"/>
      <c r="V37" s="756" t="s">
        <v>432</v>
      </c>
      <c r="W37" s="757"/>
      <c r="X37" s="757"/>
      <c r="Y37" s="757"/>
      <c r="Z37" s="757"/>
      <c r="AA37" s="757"/>
      <c r="AB37" s="757"/>
      <c r="AC37" s="757"/>
      <c r="AD37" s="757"/>
      <c r="AE37" s="758"/>
      <c r="AF37" s="724" t="s">
        <v>433</v>
      </c>
      <c r="AG37" s="756" t="s">
        <v>432</v>
      </c>
      <c r="AH37" s="757"/>
      <c r="AI37" s="757"/>
      <c r="AJ37" s="757"/>
      <c r="AK37" s="757"/>
      <c r="AL37" s="757"/>
      <c r="AM37" s="757"/>
      <c r="AN37" s="757"/>
      <c r="AO37" s="757"/>
      <c r="AP37" s="758"/>
      <c r="AQ37" s="724" t="s">
        <v>434</v>
      </c>
      <c r="AR37" s="759" t="s">
        <v>435</v>
      </c>
      <c r="AS37" s="679"/>
      <c r="AY37" s="4">
        <v>14</v>
      </c>
    </row>
    <row r="38" spans="1:51" s="4" customFormat="1" ht="19.899999999999999" customHeight="1">
      <c r="A38" s="43"/>
      <c r="B38" s="43"/>
      <c r="C38" s="43"/>
      <c r="D38" s="43"/>
      <c r="E38" s="43"/>
      <c r="F38" s="43"/>
      <c r="G38" s="43"/>
      <c r="H38" s="43"/>
      <c r="I38" s="43"/>
      <c r="J38" s="43"/>
      <c r="K38" s="43"/>
      <c r="L38" s="43"/>
      <c r="M38" s="167"/>
      <c r="N38" s="167"/>
      <c r="O38" s="167"/>
      <c r="P38" s="23"/>
      <c r="Q38" s="19"/>
      <c r="R38" s="19"/>
      <c r="S38" s="722"/>
      <c r="T38" s="722"/>
      <c r="U38" s="349"/>
      <c r="V38" s="679" t="s">
        <v>535</v>
      </c>
      <c r="W38" s="804" t="s">
        <v>536</v>
      </c>
      <c r="X38" s="804"/>
      <c r="Y38" s="804"/>
      <c r="Z38" s="804" t="s">
        <v>537</v>
      </c>
      <c r="AA38" s="804"/>
      <c r="AB38" s="804"/>
      <c r="AC38" s="674" t="s">
        <v>439</v>
      </c>
      <c r="AD38" s="697"/>
      <c r="AE38" s="672"/>
      <c r="AF38" s="725"/>
      <c r="AG38" s="679" t="s">
        <v>535</v>
      </c>
      <c r="AH38" s="804" t="s">
        <v>536</v>
      </c>
      <c r="AI38" s="804"/>
      <c r="AJ38" s="804"/>
      <c r="AK38" s="804" t="s">
        <v>537</v>
      </c>
      <c r="AL38" s="804"/>
      <c r="AM38" s="804"/>
      <c r="AN38" s="674" t="s">
        <v>439</v>
      </c>
      <c r="AO38" s="697"/>
      <c r="AP38" s="672"/>
      <c r="AQ38" s="725"/>
      <c r="AR38" s="760"/>
      <c r="AS38" s="679"/>
      <c r="AT38" s="46"/>
      <c r="AU38" s="46"/>
      <c r="AV38" s="46"/>
      <c r="AW38" s="46"/>
      <c r="AX38" s="46"/>
      <c r="AY38" s="4">
        <v>19</v>
      </c>
    </row>
    <row r="39" spans="1:51" ht="19.899999999999999" customHeight="1">
      <c r="Q39" s="19"/>
      <c r="R39" s="19"/>
      <c r="S39" s="722"/>
      <c r="T39" s="722"/>
      <c r="U39" s="349"/>
      <c r="V39" s="679"/>
      <c r="W39" s="804" t="s">
        <v>538</v>
      </c>
      <c r="X39" s="804" t="s">
        <v>539</v>
      </c>
      <c r="Y39" s="804"/>
      <c r="Z39" s="804" t="s">
        <v>540</v>
      </c>
      <c r="AA39" s="804" t="s">
        <v>539</v>
      </c>
      <c r="AB39" s="804"/>
      <c r="AC39" s="677"/>
      <c r="AD39" s="712"/>
      <c r="AE39" s="675"/>
      <c r="AF39" s="725"/>
      <c r="AG39" s="679"/>
      <c r="AH39" s="804" t="s">
        <v>538</v>
      </c>
      <c r="AI39" s="804" t="s">
        <v>539</v>
      </c>
      <c r="AJ39" s="804"/>
      <c r="AK39" s="804" t="s">
        <v>540</v>
      </c>
      <c r="AL39" s="804" t="s">
        <v>539</v>
      </c>
      <c r="AM39" s="804"/>
      <c r="AN39" s="677"/>
      <c r="AO39" s="712"/>
      <c r="AP39" s="675"/>
      <c r="AQ39" s="725"/>
      <c r="AR39" s="760"/>
      <c r="AS39" s="679"/>
      <c r="AY39" s="4">
        <v>19</v>
      </c>
    </row>
    <row r="40" spans="1:51" ht="61.9" customHeight="1">
      <c r="B40" s="43" t="s">
        <v>140</v>
      </c>
      <c r="C40" s="43" t="s">
        <v>141</v>
      </c>
      <c r="D40" s="43" t="s">
        <v>142</v>
      </c>
      <c r="E40" s="43" t="s">
        <v>440</v>
      </c>
      <c r="F40" s="43" t="s">
        <v>441</v>
      </c>
      <c r="G40" s="43" t="s">
        <v>442</v>
      </c>
      <c r="I40" s="43" t="s">
        <v>493</v>
      </c>
      <c r="J40" s="43" t="s">
        <v>445</v>
      </c>
      <c r="K40" s="43" t="s">
        <v>494</v>
      </c>
      <c r="L40" s="43" t="s">
        <v>421</v>
      </c>
      <c r="Q40" s="19"/>
      <c r="R40" s="19"/>
      <c r="S40" s="722"/>
      <c r="T40" s="722"/>
      <c r="U40" s="101"/>
      <c r="V40" s="679"/>
      <c r="W40" s="804"/>
      <c r="X40" s="612" t="s">
        <v>541</v>
      </c>
      <c r="Y40" s="612" t="s">
        <v>542</v>
      </c>
      <c r="Z40" s="804"/>
      <c r="AA40" s="612" t="s">
        <v>543</v>
      </c>
      <c r="AB40" s="612" t="s">
        <v>544</v>
      </c>
      <c r="AC40" s="27" t="s">
        <v>449</v>
      </c>
      <c r="AD40" s="728" t="s">
        <v>450</v>
      </c>
      <c r="AE40" s="734"/>
      <c r="AF40" s="726"/>
      <c r="AG40" s="679"/>
      <c r="AH40" s="804"/>
      <c r="AI40" s="612" t="s">
        <v>541</v>
      </c>
      <c r="AJ40" s="612" t="s">
        <v>542</v>
      </c>
      <c r="AK40" s="804"/>
      <c r="AL40" s="612" t="s">
        <v>543</v>
      </c>
      <c r="AM40" s="612" t="s">
        <v>544</v>
      </c>
      <c r="AN40" s="27" t="s">
        <v>449</v>
      </c>
      <c r="AO40" s="728" t="s">
        <v>450</v>
      </c>
      <c r="AP40" s="734"/>
      <c r="AQ40" s="726"/>
      <c r="AR40" s="761"/>
      <c r="AS40" s="679"/>
      <c r="AY40" s="4">
        <v>59</v>
      </c>
    </row>
    <row r="41" spans="1:51" s="117" customFormat="1" ht="11.25" hidden="1" customHeight="1">
      <c r="A41" s="43"/>
      <c r="B41" s="43"/>
      <c r="C41" s="43"/>
      <c r="D41" s="43"/>
      <c r="E41" s="43"/>
      <c r="F41" s="43"/>
      <c r="G41" s="43"/>
      <c r="H41" s="43"/>
      <c r="I41" s="43"/>
      <c r="J41" s="43"/>
      <c r="K41" s="43"/>
      <c r="L41" s="43"/>
      <c r="M41" s="167"/>
      <c r="N41" s="167"/>
      <c r="O41" s="167"/>
      <c r="P41" s="178"/>
      <c r="Q41" s="422"/>
      <c r="R41" s="424">
        <v>1</v>
      </c>
      <c r="S41" s="425" t="s">
        <v>110</v>
      </c>
      <c r="T41" s="425" t="s">
        <v>111</v>
      </c>
      <c r="U41" s="421" t="str">
        <f ca="1">OFFSET(U41,0,-1)</f>
        <v>2</v>
      </c>
      <c r="V41" s="426">
        <f ca="1">OFFSET(V41,0,-1)+1</f>
        <v>3</v>
      </c>
      <c r="W41" s="426"/>
      <c r="X41" s="426"/>
      <c r="Y41" s="426"/>
      <c r="Z41" s="426"/>
      <c r="AA41" s="426"/>
      <c r="AB41" s="426">
        <f ca="1">OFFSET(AB41,0,-1)+1</f>
        <v>1</v>
      </c>
      <c r="AC41" s="426">
        <f ca="1">OFFSET(AC41,0,-1)+1</f>
        <v>2</v>
      </c>
      <c r="AD41" s="754">
        <f ca="1">OFFSET(AD41,0,-1)+1</f>
        <v>3</v>
      </c>
      <c r="AE41" s="754"/>
      <c r="AF41" s="426">
        <f ca="1">OFFSET(AF41,0,-2)+1</f>
        <v>4</v>
      </c>
      <c r="AG41" s="426">
        <f ca="1">OFFSET(AG41,0,-1)+1</f>
        <v>5</v>
      </c>
      <c r="AH41" s="426"/>
      <c r="AI41" s="426"/>
      <c r="AJ41" s="426"/>
      <c r="AK41" s="426"/>
      <c r="AL41" s="426"/>
      <c r="AM41" s="426">
        <f ca="1">OFFSET(AM41,0,-1)+1</f>
        <v>1</v>
      </c>
      <c r="AN41" s="426">
        <f ca="1">OFFSET(AN41,0,-1)+1</f>
        <v>2</v>
      </c>
      <c r="AO41" s="754">
        <f ca="1">OFFSET(AO41,0,-1)+1</f>
        <v>3</v>
      </c>
      <c r="AP41" s="754"/>
      <c r="AQ41" s="426">
        <f ca="1">OFFSET(AQ41,0,-2)+1</f>
        <v>4</v>
      </c>
      <c r="AR41" s="421">
        <f ca="1">OFFSET(AR41,0,-1)</f>
        <v>4</v>
      </c>
      <c r="AS41" s="426">
        <f ca="1">OFFSET(AS41,0,-1)+1</f>
        <v>5</v>
      </c>
      <c r="AT41" s="46"/>
      <c r="AU41" s="46"/>
      <c r="AV41" s="46"/>
      <c r="AW41" s="46"/>
      <c r="AX41" s="46"/>
      <c r="AY41" s="117">
        <v>0</v>
      </c>
    </row>
    <row r="42" spans="1:51" ht="24" customHeight="1">
      <c r="A42" s="43" t="s">
        <v>259</v>
      </c>
      <c r="E42" s="745">
        <v>1</v>
      </c>
      <c r="M42" s="43"/>
      <c r="N42" s="43"/>
      <c r="O42" s="43"/>
      <c r="Q42" s="4"/>
      <c r="R42" s="119"/>
      <c r="S42" s="24">
        <f>INDEX(PT_DIFFERENTIATION_NUM_NTAR,MATCH(A42,PT_DIFFERENTIATION_NTAR_ID,0))</f>
        <v>0</v>
      </c>
      <c r="T42" s="29" t="s">
        <v>128</v>
      </c>
      <c r="U42" s="29"/>
      <c r="V42" s="742"/>
      <c r="W42" s="743"/>
      <c r="X42" s="743"/>
      <c r="Y42" s="743"/>
      <c r="Z42" s="743"/>
      <c r="AA42" s="743"/>
      <c r="AB42" s="743"/>
      <c r="AC42" s="743"/>
      <c r="AD42" s="743"/>
      <c r="AE42" s="743"/>
      <c r="AF42" s="744"/>
      <c r="AG42" s="742" t="str">
        <f>INDEX(PT_DIFFERENTIATION_NTAR,MATCH(A42,PT_DIFFERENTIATION_NTAR_ID,0))</f>
        <v/>
      </c>
      <c r="AH42" s="743"/>
      <c r="AI42" s="743"/>
      <c r="AJ42" s="743"/>
      <c r="AK42" s="743"/>
      <c r="AL42" s="743"/>
      <c r="AM42" s="743"/>
      <c r="AN42" s="743"/>
      <c r="AO42" s="743"/>
      <c r="AP42" s="743"/>
      <c r="AQ42" s="743"/>
      <c r="AR42" s="744"/>
      <c r="AS42" s="4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V42" s="46" t="str">
        <f t="shared" ref="AV42:AV54" si="1">IF(T42="","",T42)</f>
        <v>Наименование тарифа</v>
      </c>
      <c r="AY42" s="4">
        <v>23</v>
      </c>
    </row>
    <row r="43" spans="1:51" ht="24" customHeight="1">
      <c r="A43" s="43" t="s">
        <v>259</v>
      </c>
      <c r="B43" s="43" t="s">
        <v>260</v>
      </c>
      <c r="E43" s="747"/>
      <c r="F43" s="745">
        <v>1</v>
      </c>
      <c r="M43" s="43"/>
      <c r="N43" s="43"/>
      <c r="O43" s="43"/>
      <c r="P43" s="4"/>
      <c r="Q43" s="118"/>
      <c r="R43" s="119"/>
      <c r="S43" s="24" t="str">
        <f>INDEX(PT_DIFFERENTIATION_NUM_TER,MATCH(B43,PT_DIFFERENTIATION_TER_ID,0))</f>
        <v>.</v>
      </c>
      <c r="T43" s="24" t="s">
        <v>400</v>
      </c>
      <c r="U43" s="29"/>
      <c r="V43" s="742"/>
      <c r="W43" s="743"/>
      <c r="X43" s="743"/>
      <c r="Y43" s="743"/>
      <c r="Z43" s="743"/>
      <c r="AA43" s="743"/>
      <c r="AB43" s="743"/>
      <c r="AC43" s="743"/>
      <c r="AD43" s="743"/>
      <c r="AE43" s="743"/>
      <c r="AF43" s="744"/>
      <c r="AG43" s="742" t="str">
        <f>INDEX(PT_DIFFERENTIATION_TER,MATCH(B43,PT_DIFFERENTIATION_TER_ID,0))</f>
        <v/>
      </c>
      <c r="AH43" s="743"/>
      <c r="AI43" s="743"/>
      <c r="AJ43" s="743"/>
      <c r="AK43" s="743"/>
      <c r="AL43" s="743"/>
      <c r="AM43" s="743"/>
      <c r="AN43" s="743"/>
      <c r="AO43" s="743"/>
      <c r="AP43" s="743"/>
      <c r="AQ43" s="743"/>
      <c r="AR43" s="744"/>
      <c r="AS43" s="428" t="s">
        <v>401</v>
      </c>
      <c r="AV43" s="46" t="str">
        <f t="shared" si="1"/>
        <v>Территория действия тарифа</v>
      </c>
      <c r="AY43" s="4">
        <v>23</v>
      </c>
    </row>
    <row r="44" spans="1:51" ht="24" customHeight="1">
      <c r="A44" s="43" t="s">
        <v>259</v>
      </c>
      <c r="B44" s="43" t="s">
        <v>260</v>
      </c>
      <c r="C44" s="43" t="s">
        <v>261</v>
      </c>
      <c r="E44" s="747"/>
      <c r="F44" s="747"/>
      <c r="G44" s="745">
        <v>1</v>
      </c>
      <c r="M44" s="43"/>
      <c r="N44" s="43"/>
      <c r="O44" s="43"/>
      <c r="P44" s="16"/>
      <c r="Q44" s="118"/>
      <c r="R44" s="119"/>
      <c r="S44" s="24" t="str">
        <f>INDEX(PT_DIFFERENTIATION_NUM_CS,MATCH(C44,PT_DIFFERENTIATION_CS_ID,0))</f>
        <v>..</v>
      </c>
      <c r="T44" s="24" t="s">
        <v>533</v>
      </c>
      <c r="U44" s="29"/>
      <c r="V44" s="742"/>
      <c r="W44" s="743"/>
      <c r="X44" s="743"/>
      <c r="Y44" s="743"/>
      <c r="Z44" s="743"/>
      <c r="AA44" s="743"/>
      <c r="AB44" s="743"/>
      <c r="AC44" s="743"/>
      <c r="AD44" s="743"/>
      <c r="AE44" s="743"/>
      <c r="AF44" s="744"/>
      <c r="AG44" s="742" t="str">
        <f>INDEX(PT_DIFFERENTIATION_CS,MATCH(C44,PT_DIFFERENTIATION_CS_ID,0))</f>
        <v/>
      </c>
      <c r="AH44" s="743"/>
      <c r="AI44" s="743"/>
      <c r="AJ44" s="743"/>
      <c r="AK44" s="743"/>
      <c r="AL44" s="743"/>
      <c r="AM44" s="743"/>
      <c r="AN44" s="743"/>
      <c r="AO44" s="743"/>
      <c r="AP44" s="743"/>
      <c r="AQ44" s="743"/>
      <c r="AR44" s="744"/>
      <c r="AS44" s="428" t="s">
        <v>534</v>
      </c>
      <c r="AV44" s="46" t="str">
        <f t="shared" si="1"/>
        <v>Наименование централизованной системы горячего водоснабжения</v>
      </c>
      <c r="AY44" s="4">
        <v>23</v>
      </c>
    </row>
    <row r="45" spans="1:51" ht="24" customHeight="1">
      <c r="A45" s="43" t="s">
        <v>259</v>
      </c>
      <c r="B45" s="43" t="s">
        <v>260</v>
      </c>
      <c r="C45" s="43" t="s">
        <v>261</v>
      </c>
      <c r="D45" s="43" t="s">
        <v>546</v>
      </c>
      <c r="E45" s="747"/>
      <c r="F45" s="747"/>
      <c r="G45" s="747"/>
      <c r="H45" s="747"/>
      <c r="I45" s="745" t="str">
        <f>S44&amp;".1"</f>
        <v>...1</v>
      </c>
      <c r="P45" s="748">
        <v>1</v>
      </c>
      <c r="Q45" s="46"/>
      <c r="R45" s="120"/>
      <c r="S45" s="24" t="str">
        <f>$I45</f>
        <v>...1</v>
      </c>
      <c r="T45" s="24" t="s">
        <v>486</v>
      </c>
      <c r="U45" s="29"/>
      <c r="V45" s="793"/>
      <c r="W45" s="794"/>
      <c r="X45" s="794"/>
      <c r="Y45" s="794"/>
      <c r="Z45" s="794"/>
      <c r="AA45" s="794"/>
      <c r="AB45" s="794"/>
      <c r="AC45" s="794"/>
      <c r="AD45" s="794"/>
      <c r="AE45" s="794"/>
      <c r="AF45" s="795"/>
      <c r="AG45" s="793"/>
      <c r="AH45" s="794"/>
      <c r="AI45" s="794"/>
      <c r="AJ45" s="794"/>
      <c r="AK45" s="794"/>
      <c r="AL45" s="794"/>
      <c r="AM45" s="794"/>
      <c r="AN45" s="794"/>
      <c r="AO45" s="794"/>
      <c r="AP45" s="794"/>
      <c r="AQ45" s="794"/>
      <c r="AR45" s="795"/>
      <c r="AS45" s="428" t="s">
        <v>487</v>
      </c>
      <c r="AV45" s="46" t="str">
        <f t="shared" si="1"/>
        <v>Наименование признака дифференциации</v>
      </c>
      <c r="AY45" s="4">
        <v>23</v>
      </c>
    </row>
    <row r="46" spans="1:51" ht="24" customHeight="1">
      <c r="A46" s="43" t="s">
        <v>259</v>
      </c>
      <c r="B46" s="43" t="s">
        <v>260</v>
      </c>
      <c r="C46" s="43" t="s">
        <v>261</v>
      </c>
      <c r="D46" s="43" t="s">
        <v>546</v>
      </c>
      <c r="E46" s="747"/>
      <c r="F46" s="747"/>
      <c r="G46" s="747"/>
      <c r="H46" s="747"/>
      <c r="I46" s="747"/>
      <c r="J46" s="745" t="str">
        <f>I45&amp;".1"</f>
        <v>...1.1</v>
      </c>
      <c r="L46" s="43" t="s">
        <v>409</v>
      </c>
      <c r="P46" s="748"/>
      <c r="Q46" s="748">
        <v>1</v>
      </c>
      <c r="R46" s="120"/>
      <c r="S46" s="24" t="str">
        <f>$J46</f>
        <v>...1.1</v>
      </c>
      <c r="T46" s="24" t="s">
        <v>410</v>
      </c>
      <c r="U46" s="29"/>
      <c r="V46" s="737"/>
      <c r="W46" s="738"/>
      <c r="X46" s="738"/>
      <c r="Y46" s="738"/>
      <c r="Z46" s="738"/>
      <c r="AA46" s="738"/>
      <c r="AB46" s="738"/>
      <c r="AC46" s="738"/>
      <c r="AD46" s="738"/>
      <c r="AE46" s="738"/>
      <c r="AF46" s="739"/>
      <c r="AG46" s="737"/>
      <c r="AH46" s="738"/>
      <c r="AI46" s="738"/>
      <c r="AJ46" s="738"/>
      <c r="AK46" s="738"/>
      <c r="AL46" s="738"/>
      <c r="AM46" s="738"/>
      <c r="AN46" s="738"/>
      <c r="AO46" s="738"/>
      <c r="AP46" s="738"/>
      <c r="AQ46" s="738"/>
      <c r="AR46" s="739"/>
      <c r="AS46" s="445" t="s">
        <v>488</v>
      </c>
      <c r="AV46" s="46" t="str">
        <f t="shared" si="1"/>
        <v>Группа потребителей</v>
      </c>
      <c r="AY46" s="4">
        <v>23</v>
      </c>
    </row>
    <row r="47" spans="1:51" ht="24" customHeight="1">
      <c r="A47" s="43" t="s">
        <v>259</v>
      </c>
      <c r="B47" s="43" t="s">
        <v>260</v>
      </c>
      <c r="C47" s="43" t="s">
        <v>261</v>
      </c>
      <c r="D47" s="43" t="s">
        <v>546</v>
      </c>
      <c r="E47" s="747"/>
      <c r="F47" s="747"/>
      <c r="G47" s="747"/>
      <c r="H47" s="747"/>
      <c r="I47" s="747"/>
      <c r="J47" s="747"/>
      <c r="K47" s="745" t="str">
        <f>J46&amp;".1"</f>
        <v>...1.1.1</v>
      </c>
      <c r="P47" s="748"/>
      <c r="Q47" s="748"/>
      <c r="R47" s="120">
        <v>1</v>
      </c>
      <c r="S47" s="24" t="str">
        <f>$K47</f>
        <v>...1.1.1</v>
      </c>
      <c r="T47" s="25"/>
      <c r="U47" s="29"/>
      <c r="V47" s="205"/>
      <c r="W47" s="205"/>
      <c r="X47" s="205"/>
      <c r="Y47" s="205"/>
      <c r="Z47" s="205"/>
      <c r="AA47" s="205"/>
      <c r="AB47" s="451"/>
      <c r="AC47" s="746"/>
      <c r="AD47" s="745" t="s">
        <v>66</v>
      </c>
      <c r="AE47" s="746"/>
      <c r="AF47" s="745" t="s">
        <v>66</v>
      </c>
      <c r="AG47" s="168"/>
      <c r="AH47" s="168"/>
      <c r="AI47" s="168"/>
      <c r="AJ47" s="168"/>
      <c r="AK47" s="168"/>
      <c r="AL47" s="168"/>
      <c r="AM47" s="427"/>
      <c r="AN47" s="749"/>
      <c r="AO47" s="688" t="s">
        <v>66</v>
      </c>
      <c r="AP47" s="750"/>
      <c r="AQ47" s="688" t="s">
        <v>19</v>
      </c>
      <c r="AR47" s="474"/>
      <c r="AS47" s="79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46" t="e">
        <f ca="1">STRCHECKDATE(V48:AR48)</f>
        <v>#NAME?</v>
      </c>
      <c r="AV47" s="46" t="str">
        <f t="shared" si="1"/>
        <v/>
      </c>
      <c r="AY47" s="4">
        <v>23</v>
      </c>
    </row>
    <row r="48" spans="1:51" ht="0" hidden="1" customHeight="1">
      <c r="A48" s="43" t="s">
        <v>259</v>
      </c>
      <c r="B48" s="43" t="s">
        <v>260</v>
      </c>
      <c r="C48" s="43" t="s">
        <v>261</v>
      </c>
      <c r="D48" s="43" t="s">
        <v>546</v>
      </c>
      <c r="E48" s="747"/>
      <c r="F48" s="747"/>
      <c r="G48" s="747"/>
      <c r="H48" s="747"/>
      <c r="I48" s="747"/>
      <c r="J48" s="747"/>
      <c r="K48" s="745"/>
      <c r="P48" s="748"/>
      <c r="Q48" s="748"/>
      <c r="R48" s="120"/>
      <c r="S48" s="31"/>
      <c r="T48" s="29"/>
      <c r="U48" s="29"/>
      <c r="V48" s="205"/>
      <c r="W48" s="205"/>
      <c r="X48" s="205"/>
      <c r="Y48" s="205"/>
      <c r="Z48" s="205"/>
      <c r="AA48" s="205"/>
      <c r="AB48" s="111" t="str">
        <f>AC47&amp;"-"&amp;AE47</f>
        <v>-</v>
      </c>
      <c r="AC48" s="745"/>
      <c r="AD48" s="745"/>
      <c r="AE48" s="745"/>
      <c r="AF48" s="745"/>
      <c r="AG48" s="110"/>
      <c r="AH48" s="110"/>
      <c r="AI48" s="110"/>
      <c r="AJ48" s="110"/>
      <c r="AK48" s="110"/>
      <c r="AL48" s="110"/>
      <c r="AM48" s="111" t="str">
        <f>AN47&amp;"-"&amp;AP47</f>
        <v>-</v>
      </c>
      <c r="AN48" s="707"/>
      <c r="AO48" s="688"/>
      <c r="AP48" s="751"/>
      <c r="AQ48" s="688"/>
      <c r="AR48" s="216"/>
      <c r="AS48" s="796"/>
      <c r="AV48" s="46" t="str">
        <f t="shared" si="1"/>
        <v/>
      </c>
      <c r="AY48" s="4">
        <v>0</v>
      </c>
    </row>
    <row r="49" spans="1:51" ht="21" customHeight="1">
      <c r="A49" s="43" t="s">
        <v>259</v>
      </c>
      <c r="B49" s="43" t="s">
        <v>260</v>
      </c>
      <c r="C49" s="43" t="s">
        <v>261</v>
      </c>
      <c r="D49" s="43" t="s">
        <v>546</v>
      </c>
      <c r="E49" s="747"/>
      <c r="F49" s="747"/>
      <c r="G49" s="747"/>
      <c r="H49" s="747"/>
      <c r="I49" s="747"/>
      <c r="J49" s="745"/>
      <c r="P49" s="748"/>
      <c r="Q49" s="748"/>
      <c r="R49" s="120"/>
      <c r="S49" s="434"/>
      <c r="T49" s="37" t="s">
        <v>489</v>
      </c>
      <c r="U49" s="58"/>
      <c r="V49" s="58"/>
      <c r="W49" s="58"/>
      <c r="X49" s="58"/>
      <c r="Y49" s="58"/>
      <c r="Z49" s="58"/>
      <c r="AA49" s="58"/>
      <c r="AB49" s="58"/>
      <c r="AC49" s="58"/>
      <c r="AD49" s="58"/>
      <c r="AE49" s="58"/>
      <c r="AF49" s="58"/>
      <c r="AG49" s="58"/>
      <c r="AH49" s="58"/>
      <c r="AI49" s="58"/>
      <c r="AJ49" s="58"/>
      <c r="AK49" s="58"/>
      <c r="AL49" s="58"/>
      <c r="AM49" s="58"/>
      <c r="AN49" s="58"/>
      <c r="AO49" s="58"/>
      <c r="AP49" s="58"/>
      <c r="AQ49" s="58"/>
      <c r="AR49" s="58"/>
      <c r="AS49" s="428" t="s">
        <v>490</v>
      </c>
      <c r="AV49" s="46" t="str">
        <f t="shared" si="1"/>
        <v>Добавить значение признака дифференциации</v>
      </c>
      <c r="AY49" s="4">
        <v>20</v>
      </c>
    </row>
    <row r="50" spans="1:51" ht="21.95" customHeight="1">
      <c r="A50" s="43" t="s">
        <v>259</v>
      </c>
      <c r="B50" s="43" t="s">
        <v>260</v>
      </c>
      <c r="C50" s="43" t="s">
        <v>261</v>
      </c>
      <c r="D50" s="43" t="s">
        <v>546</v>
      </c>
      <c r="E50" s="747"/>
      <c r="F50" s="747"/>
      <c r="G50" s="747"/>
      <c r="H50" s="747"/>
      <c r="I50" s="745"/>
      <c r="P50" s="748"/>
      <c r="Q50" s="46"/>
      <c r="R50" s="120"/>
      <c r="S50" s="434"/>
      <c r="T50" s="37" t="s">
        <v>415</v>
      </c>
      <c r="U50" s="58"/>
      <c r="V50" s="58"/>
      <c r="W50" s="58"/>
      <c r="X50" s="58"/>
      <c r="Y50" s="58"/>
      <c r="Z50" s="58"/>
      <c r="AA50" s="58"/>
      <c r="AB50" s="58"/>
      <c r="AC50" s="58"/>
      <c r="AD50" s="58"/>
      <c r="AE50" s="58"/>
      <c r="AF50" s="54"/>
      <c r="AG50" s="58"/>
      <c r="AH50" s="58"/>
      <c r="AI50" s="58"/>
      <c r="AJ50" s="58"/>
      <c r="AK50" s="58"/>
      <c r="AL50" s="58"/>
      <c r="AM50" s="58"/>
      <c r="AN50" s="58"/>
      <c r="AO50" s="58"/>
      <c r="AP50" s="58"/>
      <c r="AQ50" s="54"/>
      <c r="AR50" s="58"/>
      <c r="AS50" s="475"/>
      <c r="AV50" s="46" t="str">
        <f t="shared" si="1"/>
        <v>Добавить группу потребителей</v>
      </c>
      <c r="AY50" s="4">
        <v>21</v>
      </c>
    </row>
    <row r="51" spans="1:51" ht="21.95" customHeight="1">
      <c r="A51" s="43" t="s">
        <v>259</v>
      </c>
      <c r="B51" s="43" t="s">
        <v>260</v>
      </c>
      <c r="C51" s="43" t="s">
        <v>261</v>
      </c>
      <c r="D51" s="43" t="s">
        <v>546</v>
      </c>
      <c r="E51" s="747"/>
      <c r="F51" s="747"/>
      <c r="G51" s="747"/>
      <c r="H51" s="745"/>
      <c r="M51" s="43"/>
      <c r="N51" s="43"/>
      <c r="O51" s="43"/>
      <c r="P51" s="4"/>
      <c r="R51" s="119"/>
      <c r="S51" s="434"/>
      <c r="T51" s="37" t="s">
        <v>491</v>
      </c>
      <c r="U51" s="58"/>
      <c r="V51" s="58"/>
      <c r="W51" s="58"/>
      <c r="X51" s="58"/>
      <c r="Y51" s="58"/>
      <c r="Z51" s="58"/>
      <c r="AA51" s="58"/>
      <c r="AB51" s="58"/>
      <c r="AC51" s="58"/>
      <c r="AD51" s="58"/>
      <c r="AE51" s="58"/>
      <c r="AF51" s="54"/>
      <c r="AG51" s="58"/>
      <c r="AH51" s="58"/>
      <c r="AI51" s="58"/>
      <c r="AJ51" s="58"/>
      <c r="AK51" s="58"/>
      <c r="AL51" s="58"/>
      <c r="AM51" s="58"/>
      <c r="AN51" s="58"/>
      <c r="AO51" s="58"/>
      <c r="AP51" s="58"/>
      <c r="AQ51" s="54"/>
      <c r="AR51" s="58"/>
      <c r="AS51" s="102"/>
      <c r="AV51" s="46" t="str">
        <f t="shared" si="1"/>
        <v>Добавить наименование признака дифференциации</v>
      </c>
      <c r="AY51" s="4">
        <v>21</v>
      </c>
    </row>
    <row r="52" spans="1:51" s="46" customFormat="1" ht="0" hidden="1" customHeight="1">
      <c r="A52" s="46" t="s">
        <v>259</v>
      </c>
      <c r="B52" s="46" t="s">
        <v>260</v>
      </c>
      <c r="E52" s="747"/>
      <c r="F52" s="745"/>
      <c r="M52" s="160"/>
      <c r="N52" s="160"/>
      <c r="Q52" s="446"/>
      <c r="S52" s="449"/>
      <c r="T52" s="160" t="s">
        <v>418</v>
      </c>
      <c r="U52" s="160"/>
      <c r="V52" s="160"/>
      <c r="W52" s="160"/>
      <c r="X52" s="160"/>
      <c r="Y52" s="160"/>
      <c r="Z52" s="160"/>
      <c r="AA52" s="160"/>
      <c r="AB52" s="160"/>
      <c r="AC52" s="160"/>
      <c r="AD52" s="160"/>
      <c r="AE52" s="160"/>
      <c r="AF52" s="160"/>
      <c r="AG52" s="160"/>
      <c r="AH52" s="160"/>
      <c r="AI52" s="160"/>
      <c r="AJ52" s="160"/>
      <c r="AK52" s="160"/>
      <c r="AL52" s="160"/>
      <c r="AM52" s="160"/>
      <c r="AN52" s="160"/>
      <c r="AO52" s="160"/>
      <c r="AP52" s="160"/>
      <c r="AQ52" s="160"/>
      <c r="AR52" s="160"/>
      <c r="AS52" s="160"/>
      <c r="AV52" s="46" t="str">
        <f t="shared" si="1"/>
        <v>Добавить централизованную систему для дифференциации</v>
      </c>
      <c r="AY52" s="46">
        <v>0</v>
      </c>
    </row>
    <row r="53" spans="1:51" s="46" customFormat="1" ht="0" hidden="1" customHeight="1">
      <c r="A53" s="46" t="s">
        <v>259</v>
      </c>
      <c r="E53" s="745"/>
      <c r="M53" s="160"/>
      <c r="N53" s="160"/>
      <c r="Q53" s="446"/>
      <c r="S53" s="449"/>
      <c r="T53" s="160" t="s">
        <v>419</v>
      </c>
      <c r="U53" s="160"/>
      <c r="V53" s="160"/>
      <c r="W53" s="160"/>
      <c r="X53" s="160"/>
      <c r="Y53" s="160"/>
      <c r="Z53" s="160"/>
      <c r="AA53" s="160"/>
      <c r="AB53" s="160"/>
      <c r="AC53" s="160"/>
      <c r="AD53" s="160"/>
      <c r="AE53" s="160"/>
      <c r="AF53" s="160"/>
      <c r="AG53" s="160"/>
      <c r="AH53" s="160"/>
      <c r="AI53" s="160"/>
      <c r="AJ53" s="160"/>
      <c r="AK53" s="160"/>
      <c r="AL53" s="160"/>
      <c r="AM53" s="160"/>
      <c r="AN53" s="160"/>
      <c r="AO53" s="160"/>
      <c r="AP53" s="160"/>
      <c r="AQ53" s="160"/>
      <c r="AR53" s="160"/>
      <c r="AS53" s="160"/>
      <c r="AV53" s="46" t="str">
        <f t="shared" si="1"/>
        <v>Добавить территорию для дифференциации</v>
      </c>
      <c r="AY53" s="46">
        <v>0</v>
      </c>
    </row>
    <row r="54" spans="1:51" s="46" customFormat="1" ht="0" hidden="1" customHeight="1">
      <c r="M54" s="160"/>
      <c r="N54" s="160"/>
      <c r="Q54" s="446"/>
      <c r="S54" s="449"/>
      <c r="T54" s="160" t="s">
        <v>451</v>
      </c>
      <c r="U54" s="160"/>
      <c r="V54" s="160"/>
      <c r="W54" s="160"/>
      <c r="X54" s="160"/>
      <c r="Y54" s="160"/>
      <c r="Z54" s="160"/>
      <c r="AA54" s="160"/>
      <c r="AB54" s="160"/>
      <c r="AC54" s="160"/>
      <c r="AD54" s="160"/>
      <c r="AE54" s="160"/>
      <c r="AF54" s="160"/>
      <c r="AG54" s="160"/>
      <c r="AH54" s="160"/>
      <c r="AI54" s="160"/>
      <c r="AJ54" s="160"/>
      <c r="AK54" s="160"/>
      <c r="AL54" s="160"/>
      <c r="AM54" s="160"/>
      <c r="AN54" s="160"/>
      <c r="AO54" s="160"/>
      <c r="AP54" s="160"/>
      <c r="AQ54" s="160"/>
      <c r="AR54" s="160"/>
      <c r="AS54" s="160"/>
      <c r="AV54" s="46" t="str">
        <f t="shared" si="1"/>
        <v>Добавить наименование тарифа</v>
      </c>
      <c r="AY54" s="46">
        <v>0</v>
      </c>
    </row>
    <row r="55" spans="1:51" ht="11.45" customHeight="1">
      <c r="M55" s="43"/>
      <c r="N55" s="43"/>
      <c r="O55" s="43"/>
      <c r="P55" s="4"/>
      <c r="Q55" s="4"/>
      <c r="R55" s="4"/>
      <c r="AT55" s="4"/>
      <c r="AU55" s="4"/>
      <c r="AV55" s="4"/>
      <c r="AW55" s="4"/>
      <c r="AX55" s="4"/>
      <c r="AY55" s="4">
        <v>11</v>
      </c>
    </row>
    <row r="56" spans="1:51" ht="14.65" customHeight="1">
      <c r="O56" s="43"/>
      <c r="T56" s="665"/>
      <c r="U56" s="665"/>
      <c r="V56" s="665"/>
      <c r="W56" s="665"/>
      <c r="X56" s="665"/>
      <c r="Y56" s="665"/>
      <c r="Z56" s="665"/>
      <c r="AA56" s="665"/>
      <c r="AB56" s="665"/>
      <c r="AC56" s="665"/>
      <c r="AD56" s="665"/>
      <c r="AE56" s="665"/>
      <c r="AF56" s="665"/>
      <c r="AG56" s="665"/>
      <c r="AH56" s="665"/>
      <c r="AI56" s="665"/>
      <c r="AJ56" s="665"/>
      <c r="AK56" s="665"/>
      <c r="AL56" s="665"/>
      <c r="AM56" s="665"/>
      <c r="AN56" s="665"/>
      <c r="AO56" s="665"/>
      <c r="AP56" s="665"/>
      <c r="AQ56" s="665"/>
      <c r="AR56" s="665"/>
      <c r="AS56" s="665"/>
      <c r="AY56" s="4">
        <v>14</v>
      </c>
    </row>
    <row r="57" spans="1:51" ht="14.65" customHeight="1">
      <c r="O57" s="43"/>
      <c r="AY57" s="4">
        <v>14</v>
      </c>
    </row>
    <row r="58" spans="1:51" ht="14.65" customHeight="1">
      <c r="O58" s="43"/>
      <c r="T58" s="665"/>
      <c r="U58" s="665"/>
      <c r="V58" s="665"/>
      <c r="W58" s="665"/>
      <c r="X58" s="665"/>
      <c r="Y58" s="665"/>
      <c r="Z58" s="665"/>
      <c r="AA58" s="665"/>
      <c r="AB58" s="665"/>
      <c r="AC58" s="665"/>
      <c r="AD58" s="665"/>
      <c r="AE58" s="665"/>
      <c r="AF58" s="665"/>
      <c r="AG58" s="665"/>
      <c r="AH58" s="665"/>
      <c r="AI58" s="665"/>
      <c r="AJ58" s="665"/>
      <c r="AK58" s="665"/>
      <c r="AL58" s="665"/>
      <c r="AM58" s="665"/>
      <c r="AN58" s="665"/>
      <c r="AO58" s="665"/>
      <c r="AP58" s="665"/>
      <c r="AQ58" s="665"/>
      <c r="AR58" s="665"/>
      <c r="AS58" s="665"/>
      <c r="AY58" s="4">
        <v>14</v>
      </c>
    </row>
    <row r="59" spans="1:51" ht="22.5" hidden="1" customHeight="1">
      <c r="A59" s="43" t="s">
        <v>82</v>
      </c>
      <c r="B59" s="43">
        <v>0</v>
      </c>
      <c r="C59" s="43">
        <v>0</v>
      </c>
      <c r="D59" s="43">
        <v>0</v>
      </c>
      <c r="E59" s="43">
        <v>0</v>
      </c>
      <c r="F59" s="43">
        <v>0</v>
      </c>
      <c r="G59" s="43">
        <v>0</v>
      </c>
      <c r="H59" s="43">
        <v>0</v>
      </c>
      <c r="I59" s="43">
        <v>0</v>
      </c>
      <c r="J59" s="43">
        <v>0</v>
      </c>
      <c r="K59" s="43">
        <v>0</v>
      </c>
      <c r="L59" s="43">
        <v>0</v>
      </c>
      <c r="M59" s="167">
        <v>0</v>
      </c>
      <c r="N59" s="167">
        <v>0</v>
      </c>
      <c r="O59" s="167">
        <v>0</v>
      </c>
      <c r="P59" s="23">
        <v>3</v>
      </c>
      <c r="Q59" s="20">
        <v>3</v>
      </c>
      <c r="R59" s="20">
        <v>3</v>
      </c>
      <c r="S59" s="4">
        <v>12</v>
      </c>
      <c r="T59" s="4">
        <v>35</v>
      </c>
      <c r="U59" s="4">
        <v>0</v>
      </c>
      <c r="V59" s="4">
        <v>0</v>
      </c>
      <c r="W59" s="4">
        <v>0</v>
      </c>
      <c r="X59" s="4">
        <v>0</v>
      </c>
      <c r="Y59" s="4">
        <v>0</v>
      </c>
      <c r="Z59" s="4">
        <v>0</v>
      </c>
      <c r="AA59" s="4">
        <v>0</v>
      </c>
      <c r="AB59" s="4">
        <v>0</v>
      </c>
      <c r="AC59" s="4">
        <v>0</v>
      </c>
      <c r="AD59" s="4">
        <v>0</v>
      </c>
      <c r="AE59" s="4">
        <v>0</v>
      </c>
      <c r="AF59" s="4">
        <v>0</v>
      </c>
      <c r="AG59" s="4">
        <v>19</v>
      </c>
      <c r="AH59" s="4">
        <v>19</v>
      </c>
      <c r="AI59" s="4">
        <v>19</v>
      </c>
      <c r="AJ59" s="4">
        <v>19</v>
      </c>
      <c r="AK59" s="4">
        <v>19</v>
      </c>
      <c r="AL59" s="4">
        <v>19</v>
      </c>
      <c r="AM59" s="4">
        <v>19</v>
      </c>
      <c r="AN59" s="4">
        <v>11</v>
      </c>
      <c r="AO59" s="4">
        <v>3</v>
      </c>
      <c r="AP59" s="4">
        <v>11</v>
      </c>
      <c r="AQ59" s="4">
        <v>0</v>
      </c>
      <c r="AR59" s="4">
        <v>4</v>
      </c>
      <c r="AS59" s="4">
        <v>115</v>
      </c>
      <c r="AT59" s="46">
        <v>10</v>
      </c>
      <c r="AU59" s="46">
        <v>10</v>
      </c>
      <c r="AV59" s="46">
        <v>10</v>
      </c>
      <c r="AW59" s="46">
        <v>10</v>
      </c>
      <c r="AX59" s="46">
        <v>10</v>
      </c>
      <c r="AY59" s="4">
        <v>23</v>
      </c>
    </row>
  </sheetData>
  <sheetProtection formatColumns="0" formatRows="0" insertRows="0" deleteColumns="0" deleteRows="0" sort="0" autoFilter="0"/>
  <mergeCells count="113">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S7:AS8"/>
    <mergeCell ref="AN15:AN16"/>
    <mergeCell ref="AO15:AO16"/>
    <mergeCell ref="AP15:AP16"/>
    <mergeCell ref="AQ15:AQ16"/>
    <mergeCell ref="AD7:AD8"/>
    <mergeCell ref="AE7:AE8"/>
    <mergeCell ref="AF7:AF8"/>
    <mergeCell ref="AN7:AN8"/>
    <mergeCell ref="AO7:AO8"/>
    <mergeCell ref="AP7:AP8"/>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s>
  <dataValidations count="8">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xr:uid="{00000000-0002-0000-1E00-000000000000}"/>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xr:uid="{00000000-0002-0000-1E00-000001000000}">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xr:uid="{00000000-0002-0000-1E00-000002000000}">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xr:uid="{00000000-0002-0000-1E00-000003000000}">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xr:uid="{00000000-0002-0000-1E00-000004000000}"/>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xr:uid="{00000000-0002-0000-1E00-000005000000}"/>
    <dataValidation allowBlank="1" sqref="S131117:AS131123 S196653:AS196659 S262189:AS262195 S327725:AS327731 S393261:AS393267 S458797:AS458803 S524333:AS524339 S589869:AS589875 S655405:AS655411 S720941:AS720947 S786477:AS786483 S852013:AS852019 S917549:AS917555 S983085:AS983091 S65581:AS65587" xr:uid="{00000000-0002-0000-1E00-000006000000}"/>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xr:uid="{00000000-0002-0000-1E00-000007000000}">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919A34-D527-AC3F-5BED-982B1D4BD664}">
  <sheetPr>
    <tabColor theme="6" tint="0.39997558519241921"/>
  </sheetPr>
  <dimension ref="A1:BI69"/>
  <sheetViews>
    <sheetView showGridLines="0" zoomScale="90" workbookViewId="0">
      <pane xSplit="29" ySplit="45" topLeftCell="AD46" activePane="bottomRight" state="frozen"/>
      <selection pane="topRight" activeCell="AD1" sqref="AD1"/>
      <selection pane="bottomLeft" activeCell="A46" sqref="A46"/>
      <selection pane="bottomRight"/>
    </sheetView>
  </sheetViews>
  <sheetFormatPr defaultColWidth="10.5703125" defaultRowHeight="14.25" customHeight="1"/>
  <cols>
    <col min="1" max="1" width="11.5703125" style="43" hidden="1" customWidth="1"/>
    <col min="2" max="2" width="11" style="43" hidden="1" customWidth="1"/>
    <col min="3" max="3" width="10.5703125" style="43" hidden="1"/>
    <col min="4" max="4" width="12.85546875" style="43" hidden="1" customWidth="1"/>
    <col min="5" max="5" width="10" style="43" hidden="1" customWidth="1"/>
    <col min="6" max="6" width="8.7109375" style="43" hidden="1" customWidth="1"/>
    <col min="7" max="7" width="7.5703125" style="43" hidden="1" customWidth="1"/>
    <col min="8" max="8" width="11.42578125" style="43" hidden="1" customWidth="1"/>
    <col min="9" max="9" width="12" style="43" hidden="1" customWidth="1"/>
    <col min="10" max="10" width="9.85546875" style="43" hidden="1" customWidth="1"/>
    <col min="11" max="11" width="11.42578125" style="43" hidden="1" customWidth="1"/>
    <col min="12" max="12" width="19.140625" style="43" hidden="1" customWidth="1"/>
    <col min="13" max="14" width="12.28515625" style="167" hidden="1" customWidth="1"/>
    <col min="15" max="15" width="23.42578125" style="167" hidden="1" customWidth="1"/>
    <col min="16" max="16" width="3.7109375" style="167" hidden="1" customWidth="1"/>
    <col min="17" max="17" width="3.7109375" style="452" hidden="1" customWidth="1"/>
    <col min="18" max="18" width="3" style="20" customWidth="1"/>
    <col min="19" max="19" width="12" style="4" customWidth="1"/>
    <col min="20" max="20" width="31" style="4" customWidth="1"/>
    <col min="21" max="21" width="0.140625" style="4" customWidth="1"/>
    <col min="22" max="25" width="21.7109375" style="4" hidden="1" customWidth="1"/>
    <col min="26" max="26" width="11.7109375" style="4" hidden="1" customWidth="1"/>
    <col min="27" max="27" width="3.7109375" style="4" hidden="1" customWidth="1"/>
    <col min="28" max="28" width="11.7109375" style="4" hidden="1" customWidth="1"/>
    <col min="29" max="29" width="8.5703125" style="4" hidden="1" customWidth="1"/>
    <col min="30" max="30" width="3.7109375" style="4" customWidth="1"/>
    <col min="31" max="32" width="3" style="4" customWidth="1"/>
    <col min="33" max="33" width="24" style="4" customWidth="1"/>
    <col min="34" max="34" width="3.7109375" style="4" customWidth="1"/>
    <col min="35" max="36" width="3" style="4" customWidth="1"/>
    <col min="37" max="37" width="24" style="4" customWidth="1"/>
    <col min="38" max="38" width="3.7109375" style="4" customWidth="1"/>
    <col min="39" max="40" width="3" style="4" customWidth="1"/>
    <col min="41" max="41" width="18" style="4" customWidth="1"/>
    <col min="42" max="42" width="3.7109375" style="4" customWidth="1"/>
    <col min="43" max="44" width="3" style="4" customWidth="1"/>
    <col min="45" max="45" width="18" style="4" customWidth="1"/>
    <col min="46" max="49" width="21" style="4" customWidth="1"/>
    <col min="50" max="50" width="11" style="4" customWidth="1"/>
    <col min="51" max="51" width="3.7109375" style="4" customWidth="1"/>
    <col min="52" max="52" width="11" style="4" customWidth="1"/>
    <col min="53" max="53" width="8.5703125" style="4" hidden="1" customWidth="1"/>
    <col min="54" max="54" width="4" style="4" customWidth="1"/>
    <col min="55" max="55" width="115" style="4" customWidth="1"/>
    <col min="56" max="60" width="10" style="46" customWidth="1"/>
    <col min="61" max="61" width="10.5703125" style="4" hidden="1"/>
  </cols>
  <sheetData>
    <row r="1" spans="5:61" ht="22.5" hidden="1" customHeight="1">
      <c r="BI1" s="4" t="s">
        <v>14</v>
      </c>
    </row>
    <row r="2" spans="5:61" ht="21" hidden="1" customHeight="1">
      <c r="E2" s="745">
        <v>1</v>
      </c>
      <c r="M2" s="43"/>
      <c r="N2" s="43"/>
      <c r="O2" s="43"/>
      <c r="Q2" s="43"/>
      <c r="R2" s="119"/>
      <c r="S2" s="24" t="e">
        <f>INDEX(PT_DIFFERENTIATION_NUM_NTAR,MATCH(A2,PT_DIFFERENTIATION_NTAR_ID,0))</f>
        <v>#N/A</v>
      </c>
      <c r="T2" s="29" t="s">
        <v>128</v>
      </c>
      <c r="U2" s="29"/>
      <c r="V2" s="743"/>
      <c r="W2" s="743"/>
      <c r="X2" s="743"/>
      <c r="Y2" s="743"/>
      <c r="Z2" s="743"/>
      <c r="AA2" s="743"/>
      <c r="AB2" s="743"/>
      <c r="AC2" s="744"/>
      <c r="AD2" s="742" t="e">
        <f>INDEX(PT_DIFFERENTIATION_NTAR,MATCH(A2,PT_DIFFERENTIATION_NTAR_ID,0))</f>
        <v>#N/A</v>
      </c>
      <c r="AE2" s="743"/>
      <c r="AF2" s="743"/>
      <c r="AG2" s="743"/>
      <c r="AH2" s="743"/>
      <c r="AI2" s="743"/>
      <c r="AJ2" s="743"/>
      <c r="AK2" s="743"/>
      <c r="AL2" s="743"/>
      <c r="AM2" s="743"/>
      <c r="AN2" s="743"/>
      <c r="AO2" s="743"/>
      <c r="AP2" s="743"/>
      <c r="AQ2" s="743"/>
      <c r="AR2" s="743"/>
      <c r="AS2" s="743"/>
      <c r="AT2" s="743"/>
      <c r="AU2" s="743"/>
      <c r="AV2" s="743"/>
      <c r="AW2" s="743"/>
      <c r="AX2" s="743"/>
      <c r="AY2" s="743"/>
      <c r="AZ2" s="743"/>
      <c r="BA2" s="743"/>
      <c r="BB2" s="744"/>
      <c r="BC2" s="4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F2" s="46" t="str">
        <f t="shared" ref="BF2:BF8" si="0">IF(T2="","",T2)</f>
        <v>Наименование тарифа</v>
      </c>
      <c r="BI2" s="4">
        <v>0</v>
      </c>
    </row>
    <row r="3" spans="5:61" ht="21" hidden="1" customHeight="1">
      <c r="E3" s="747"/>
      <c r="F3" s="745">
        <v>1</v>
      </c>
      <c r="M3" s="43"/>
      <c r="N3" s="43"/>
      <c r="O3" s="43"/>
      <c r="P3" s="43"/>
      <c r="Q3" s="468"/>
      <c r="R3" s="119"/>
      <c r="S3" s="24" t="e">
        <f>INDEX(PT_DIFFERENTIATION_NUM_TER,MATCH(B3,PT_DIFFERENTIATION_TER_ID,0))</f>
        <v>#N/A</v>
      </c>
      <c r="T3" s="24" t="s">
        <v>400</v>
      </c>
      <c r="U3" s="29"/>
      <c r="V3" s="743"/>
      <c r="W3" s="743"/>
      <c r="X3" s="743"/>
      <c r="Y3" s="743"/>
      <c r="Z3" s="743"/>
      <c r="AA3" s="743"/>
      <c r="AB3" s="743"/>
      <c r="AC3" s="744"/>
      <c r="AD3" s="742" t="e">
        <f>INDEX(PT_DIFFERENTIATION_TER,MATCH(B3,PT_DIFFERENTIATION_TER_ID,0))</f>
        <v>#N/A</v>
      </c>
      <c r="AE3" s="743"/>
      <c r="AF3" s="743"/>
      <c r="AG3" s="743"/>
      <c r="AH3" s="743"/>
      <c r="AI3" s="743"/>
      <c r="AJ3" s="743"/>
      <c r="AK3" s="743"/>
      <c r="AL3" s="743"/>
      <c r="AM3" s="743"/>
      <c r="AN3" s="743"/>
      <c r="AO3" s="743"/>
      <c r="AP3" s="743"/>
      <c r="AQ3" s="743"/>
      <c r="AR3" s="743"/>
      <c r="AS3" s="743"/>
      <c r="AT3" s="743"/>
      <c r="AU3" s="743"/>
      <c r="AV3" s="743"/>
      <c r="AW3" s="743"/>
      <c r="AX3" s="743"/>
      <c r="AY3" s="743"/>
      <c r="AZ3" s="743"/>
      <c r="BA3" s="743"/>
      <c r="BB3" s="744"/>
      <c r="BC3" s="428" t="s">
        <v>401</v>
      </c>
      <c r="BF3" s="46" t="str">
        <f t="shared" si="0"/>
        <v>Территория действия тарифа</v>
      </c>
      <c r="BI3" s="4">
        <v>0</v>
      </c>
    </row>
    <row r="4" spans="5:61" ht="33.75" hidden="1" customHeight="1">
      <c r="E4" s="747"/>
      <c r="F4" s="747"/>
      <c r="G4" s="745">
        <v>1</v>
      </c>
      <c r="M4" s="43"/>
      <c r="N4" s="43"/>
      <c r="O4" s="43"/>
      <c r="P4" s="79"/>
      <c r="Q4" s="468"/>
      <c r="R4" s="119"/>
      <c r="S4" s="24" t="e">
        <f>INDEX(PT_DIFFERENTIATION_NUM_CS,MATCH(C4,PT_DIFFERENTIATION_CS_ID,0))</f>
        <v>#N/A</v>
      </c>
      <c r="T4" s="24" t="s">
        <v>533</v>
      </c>
      <c r="U4" s="29"/>
      <c r="V4" s="743"/>
      <c r="W4" s="743"/>
      <c r="X4" s="743"/>
      <c r="Y4" s="743"/>
      <c r="Z4" s="743"/>
      <c r="AA4" s="743"/>
      <c r="AB4" s="743"/>
      <c r="AC4" s="744"/>
      <c r="AD4" s="742" t="e">
        <f>INDEX(PT_DIFFERENTIATION_CS,MATCH(C4,PT_DIFFERENTIATION_CS_ID,0))</f>
        <v>#N/A</v>
      </c>
      <c r="AE4" s="743"/>
      <c r="AF4" s="743"/>
      <c r="AG4" s="743"/>
      <c r="AH4" s="743"/>
      <c r="AI4" s="743"/>
      <c r="AJ4" s="743"/>
      <c r="AK4" s="743"/>
      <c r="AL4" s="743"/>
      <c r="AM4" s="743"/>
      <c r="AN4" s="743"/>
      <c r="AO4" s="743"/>
      <c r="AP4" s="743"/>
      <c r="AQ4" s="743"/>
      <c r="AR4" s="743"/>
      <c r="AS4" s="743"/>
      <c r="AT4" s="743"/>
      <c r="AU4" s="743"/>
      <c r="AV4" s="743"/>
      <c r="AW4" s="743"/>
      <c r="AX4" s="743"/>
      <c r="AY4" s="743"/>
      <c r="AZ4" s="743"/>
      <c r="BA4" s="743"/>
      <c r="BB4" s="744"/>
      <c r="BC4" s="428" t="s">
        <v>534</v>
      </c>
      <c r="BF4" s="46" t="str">
        <f t="shared" si="0"/>
        <v>Наименование централизованной системы горячего водоснабжения</v>
      </c>
      <c r="BI4" s="4">
        <v>0</v>
      </c>
    </row>
    <row r="5" spans="5:61" s="46" customFormat="1" ht="14.25" hidden="1" customHeight="1">
      <c r="E5" s="747"/>
      <c r="F5" s="747"/>
      <c r="G5" s="747"/>
      <c r="H5" s="745">
        <v>1</v>
      </c>
      <c r="P5" s="478"/>
      <c r="Q5" s="479"/>
      <c r="R5" s="120"/>
      <c r="S5" s="174"/>
      <c r="T5" s="294"/>
      <c r="U5" s="174"/>
      <c r="V5" s="769"/>
      <c r="W5" s="769"/>
      <c r="X5" s="769"/>
      <c r="Y5" s="769"/>
      <c r="Z5" s="769"/>
      <c r="AA5" s="769"/>
      <c r="AB5" s="769"/>
      <c r="AC5" s="770"/>
      <c r="AD5" s="768"/>
      <c r="AE5" s="769"/>
      <c r="AF5" s="769"/>
      <c r="AG5" s="769"/>
      <c r="AH5" s="769"/>
      <c r="AI5" s="769"/>
      <c r="AJ5" s="769"/>
      <c r="AK5" s="769"/>
      <c r="AL5" s="769"/>
      <c r="AM5" s="769"/>
      <c r="AN5" s="769"/>
      <c r="AO5" s="769"/>
      <c r="AP5" s="769"/>
      <c r="AQ5" s="769"/>
      <c r="AR5" s="769"/>
      <c r="AS5" s="769"/>
      <c r="AT5" s="769"/>
      <c r="AU5" s="769"/>
      <c r="AV5" s="769"/>
      <c r="AW5" s="769"/>
      <c r="AX5" s="769"/>
      <c r="AY5" s="769"/>
      <c r="AZ5" s="769"/>
      <c r="BA5" s="769"/>
      <c r="BB5" s="770"/>
      <c r="BC5" s="174" t="s">
        <v>405</v>
      </c>
      <c r="BF5" s="46" t="str">
        <f t="shared" si="0"/>
        <v/>
      </c>
      <c r="BI5" s="46">
        <v>0</v>
      </c>
    </row>
    <row r="6" spans="5:61" s="46" customFormat="1" ht="14.25" hidden="1" customHeight="1">
      <c r="E6" s="747"/>
      <c r="F6" s="747"/>
      <c r="G6" s="747"/>
      <c r="H6" s="747"/>
      <c r="I6" s="745" t="str">
        <f>S5&amp;".1"</f>
        <v>.1</v>
      </c>
      <c r="L6" s="46" t="s">
        <v>406</v>
      </c>
      <c r="M6" s="160"/>
      <c r="N6" s="160"/>
      <c r="O6" s="160"/>
      <c r="P6" s="748">
        <v>1</v>
      </c>
      <c r="R6" s="120"/>
      <c r="S6" s="174"/>
      <c r="T6" s="174"/>
      <c r="U6" s="174"/>
      <c r="V6" s="769"/>
      <c r="W6" s="769"/>
      <c r="X6" s="769"/>
      <c r="Y6" s="769"/>
      <c r="Z6" s="769"/>
      <c r="AA6" s="769"/>
      <c r="AB6" s="769"/>
      <c r="AC6" s="770"/>
      <c r="AD6" s="768"/>
      <c r="AE6" s="769"/>
      <c r="AF6" s="769"/>
      <c r="AG6" s="769"/>
      <c r="AH6" s="769"/>
      <c r="AI6" s="769"/>
      <c r="AJ6" s="769"/>
      <c r="AK6" s="769"/>
      <c r="AL6" s="769"/>
      <c r="AM6" s="769"/>
      <c r="AN6" s="769"/>
      <c r="AO6" s="769"/>
      <c r="AP6" s="769"/>
      <c r="AQ6" s="769"/>
      <c r="AR6" s="769"/>
      <c r="AS6" s="769"/>
      <c r="AT6" s="769"/>
      <c r="AU6" s="769"/>
      <c r="AV6" s="769"/>
      <c r="AW6" s="769"/>
      <c r="AX6" s="769"/>
      <c r="AY6" s="769"/>
      <c r="AZ6" s="769"/>
      <c r="BA6" s="769"/>
      <c r="BB6" s="770"/>
      <c r="BC6" s="174"/>
      <c r="BF6" s="46" t="str">
        <f t="shared" si="0"/>
        <v/>
      </c>
      <c r="BI6" s="46">
        <v>0</v>
      </c>
    </row>
    <row r="7" spans="5:61" s="46" customFormat="1" ht="14.25" hidden="1" customHeight="1">
      <c r="E7" s="747"/>
      <c r="F7" s="747"/>
      <c r="G7" s="747"/>
      <c r="H7" s="747"/>
      <c r="I7" s="747"/>
      <c r="J7" s="745" t="str">
        <f>S5&amp;".1"</f>
        <v>.1</v>
      </c>
      <c r="M7" s="160"/>
      <c r="N7" s="160"/>
      <c r="O7" s="160"/>
      <c r="P7" s="748"/>
      <c r="Q7" s="748">
        <v>1</v>
      </c>
      <c r="R7" s="120"/>
      <c r="S7" s="174"/>
      <c r="T7" s="174"/>
      <c r="U7" s="174"/>
      <c r="V7" s="769"/>
      <c r="W7" s="769"/>
      <c r="X7" s="769"/>
      <c r="Y7" s="769"/>
      <c r="Z7" s="769"/>
      <c r="AA7" s="769"/>
      <c r="AB7" s="769"/>
      <c r="AC7" s="770"/>
      <c r="AD7" s="768"/>
      <c r="AE7" s="769"/>
      <c r="AF7" s="769"/>
      <c r="AG7" s="769"/>
      <c r="AH7" s="769"/>
      <c r="AI7" s="769"/>
      <c r="AJ7" s="769"/>
      <c r="AK7" s="769"/>
      <c r="AL7" s="769"/>
      <c r="AM7" s="769"/>
      <c r="AN7" s="769"/>
      <c r="AO7" s="769"/>
      <c r="AP7" s="769"/>
      <c r="AQ7" s="769"/>
      <c r="AR7" s="769"/>
      <c r="AS7" s="769"/>
      <c r="AT7" s="769"/>
      <c r="AU7" s="769"/>
      <c r="AV7" s="769"/>
      <c r="AW7" s="769"/>
      <c r="AX7" s="769"/>
      <c r="AY7" s="769"/>
      <c r="AZ7" s="769"/>
      <c r="BA7" s="769"/>
      <c r="BB7" s="770"/>
      <c r="BC7" s="174"/>
      <c r="BF7" s="46" t="str">
        <f t="shared" si="0"/>
        <v/>
      </c>
      <c r="BI7" s="46">
        <v>0</v>
      </c>
    </row>
    <row r="8" spans="5:61" ht="11.25" hidden="1" customHeight="1">
      <c r="E8" s="747"/>
      <c r="F8" s="747"/>
      <c r="G8" s="747"/>
      <c r="H8" s="747"/>
      <c r="I8" s="747"/>
      <c r="J8" s="747"/>
      <c r="K8" s="745" t="e">
        <f>S4&amp;".1"</f>
        <v>#N/A</v>
      </c>
      <c r="P8" s="748"/>
      <c r="Q8" s="748"/>
      <c r="R8" s="788">
        <v>1</v>
      </c>
      <c r="S8" s="724" t="e">
        <f>$K8</f>
        <v>#N/A</v>
      </c>
      <c r="T8" s="799"/>
      <c r="U8" s="29"/>
      <c r="V8" s="168"/>
      <c r="W8" s="427"/>
      <c r="X8" s="168"/>
      <c r="Y8" s="427"/>
      <c r="Z8" s="544"/>
      <c r="AA8" s="69" t="s">
        <v>66</v>
      </c>
      <c r="AB8" s="544"/>
      <c r="AC8" s="69" t="s">
        <v>66</v>
      </c>
      <c r="AD8" s="686" t="s">
        <v>66</v>
      </c>
      <c r="AE8" s="784"/>
      <c r="AF8" s="722">
        <v>1</v>
      </c>
      <c r="AG8" s="798"/>
      <c r="AH8" s="688" t="s">
        <v>66</v>
      </c>
      <c r="AI8" s="784"/>
      <c r="AJ8" s="722">
        <v>1</v>
      </c>
      <c r="AK8" s="688" t="s">
        <v>22</v>
      </c>
      <c r="AL8" s="688" t="s">
        <v>66</v>
      </c>
      <c r="AM8" s="674"/>
      <c r="AN8" s="722">
        <v>1</v>
      </c>
      <c r="AO8" s="798"/>
      <c r="AP8" s="776" t="s">
        <v>66</v>
      </c>
      <c r="AQ8" s="29"/>
      <c r="AR8" s="148">
        <v>1</v>
      </c>
      <c r="AS8" s="74" t="s">
        <v>22</v>
      </c>
      <c r="AT8" s="168"/>
      <c r="AU8" s="427"/>
      <c r="AV8" s="168"/>
      <c r="AW8" s="427"/>
      <c r="AX8" s="544"/>
      <c r="AY8" s="69" t="s">
        <v>66</v>
      </c>
      <c r="AZ8" s="544"/>
      <c r="BA8" s="69" t="s">
        <v>66</v>
      </c>
      <c r="BB8" s="345"/>
      <c r="BC8" s="762" t="s">
        <v>504</v>
      </c>
      <c r="BF8" s="46" t="str">
        <f t="shared" si="0"/>
        <v/>
      </c>
      <c r="BI8" s="4">
        <v>0</v>
      </c>
    </row>
    <row r="9" spans="5:61" ht="11.25" hidden="1" customHeight="1">
      <c r="E9" s="747"/>
      <c r="F9" s="747"/>
      <c r="G9" s="747"/>
      <c r="H9" s="747"/>
      <c r="I9" s="747"/>
      <c r="J9" s="747"/>
      <c r="K9" s="745"/>
      <c r="P9" s="748"/>
      <c r="Q9" s="748"/>
      <c r="R9" s="788"/>
      <c r="S9" s="725"/>
      <c r="T9" s="800"/>
      <c r="U9" s="29"/>
      <c r="V9" s="457"/>
      <c r="W9" s="477"/>
      <c r="X9" s="457"/>
      <c r="Y9" s="477"/>
      <c r="Z9" s="457"/>
      <c r="AA9" s="457"/>
      <c r="AB9" s="457"/>
      <c r="AC9" s="457"/>
      <c r="AD9" s="689"/>
      <c r="AE9" s="784"/>
      <c r="AF9" s="722"/>
      <c r="AG9" s="798"/>
      <c r="AH9" s="688"/>
      <c r="AI9" s="784"/>
      <c r="AJ9" s="722"/>
      <c r="AK9" s="688"/>
      <c r="AL9" s="688"/>
      <c r="AM9" s="677"/>
      <c r="AN9" s="722"/>
      <c r="AO9" s="798"/>
      <c r="AP9" s="802"/>
      <c r="AQ9" s="98"/>
      <c r="AR9" s="37"/>
      <c r="AS9" s="37" t="s">
        <v>505</v>
      </c>
      <c r="AT9" s="457"/>
      <c r="AU9" s="477"/>
      <c r="AV9" s="457"/>
      <c r="AW9" s="477"/>
      <c r="AX9" s="457"/>
      <c r="AY9" s="457"/>
      <c r="AZ9" s="457"/>
      <c r="BA9" s="457"/>
      <c r="BB9" s="461"/>
      <c r="BC9" s="763"/>
      <c r="BI9" s="4">
        <v>0</v>
      </c>
    </row>
    <row r="10" spans="5:61" ht="11.25" hidden="1" customHeight="1">
      <c r="E10" s="747"/>
      <c r="F10" s="747"/>
      <c r="G10" s="747"/>
      <c r="H10" s="747"/>
      <c r="I10" s="747"/>
      <c r="J10" s="747"/>
      <c r="K10" s="745"/>
      <c r="P10" s="748"/>
      <c r="Q10" s="748"/>
      <c r="R10" s="788"/>
      <c r="S10" s="725"/>
      <c r="T10" s="800"/>
      <c r="U10" s="29"/>
      <c r="V10" s="457"/>
      <c r="W10" s="477"/>
      <c r="X10" s="457"/>
      <c r="Y10" s="477"/>
      <c r="Z10" s="457"/>
      <c r="AA10" s="457"/>
      <c r="AB10" s="457"/>
      <c r="AC10" s="457"/>
      <c r="AD10" s="689"/>
      <c r="AE10" s="784"/>
      <c r="AF10" s="722"/>
      <c r="AG10" s="798"/>
      <c r="AH10" s="688"/>
      <c r="AI10" s="784"/>
      <c r="AJ10" s="722"/>
      <c r="AK10" s="688"/>
      <c r="AL10" s="688"/>
      <c r="AM10" s="98"/>
      <c r="AN10" s="130"/>
      <c r="AO10" s="130" t="s">
        <v>506</v>
      </c>
      <c r="AP10" s="37"/>
      <c r="AQ10" s="37"/>
      <c r="AR10" s="37"/>
      <c r="AS10" s="457"/>
      <c r="AT10" s="457"/>
      <c r="AU10" s="477"/>
      <c r="AV10" s="457"/>
      <c r="AW10" s="477"/>
      <c r="AX10" s="457"/>
      <c r="AY10" s="457"/>
      <c r="AZ10" s="457"/>
      <c r="BA10" s="457"/>
      <c r="BB10" s="461"/>
      <c r="BC10" s="763"/>
      <c r="BI10" s="4">
        <v>0</v>
      </c>
    </row>
    <row r="11" spans="5:61" ht="11.25" hidden="1" customHeight="1">
      <c r="E11" s="747"/>
      <c r="F11" s="747"/>
      <c r="G11" s="747"/>
      <c r="H11" s="747"/>
      <c r="I11" s="747"/>
      <c r="J11" s="747"/>
      <c r="K11" s="745"/>
      <c r="P11" s="748"/>
      <c r="Q11" s="748"/>
      <c r="R11" s="788"/>
      <c r="S11" s="725"/>
      <c r="T11" s="800"/>
      <c r="U11" s="29"/>
      <c r="V11" s="457"/>
      <c r="W11" s="477"/>
      <c r="X11" s="457"/>
      <c r="Y11" s="477"/>
      <c r="Z11" s="457"/>
      <c r="AA11" s="457"/>
      <c r="AB11" s="457"/>
      <c r="AC11" s="457"/>
      <c r="AD11" s="689"/>
      <c r="AE11" s="784"/>
      <c r="AF11" s="722"/>
      <c r="AG11" s="798"/>
      <c r="AH11" s="688"/>
      <c r="AI11" s="98"/>
      <c r="AJ11" s="37"/>
      <c r="AK11" s="37" t="s">
        <v>507</v>
      </c>
      <c r="AL11" s="457"/>
      <c r="AM11" s="457"/>
      <c r="AN11" s="457"/>
      <c r="AO11" s="457"/>
      <c r="AP11" s="457"/>
      <c r="AQ11" s="457"/>
      <c r="AR11" s="457"/>
      <c r="AS11" s="457"/>
      <c r="AT11" s="457"/>
      <c r="AU11" s="477"/>
      <c r="AV11" s="457"/>
      <c r="AW11" s="477"/>
      <c r="AX11" s="457"/>
      <c r="AY11" s="457"/>
      <c r="AZ11" s="457"/>
      <c r="BA11" s="457"/>
      <c r="BB11" s="461"/>
      <c r="BC11" s="763"/>
      <c r="BI11" s="4">
        <v>0</v>
      </c>
    </row>
    <row r="12" spans="5:61" ht="11.25" hidden="1" customHeight="1">
      <c r="E12" s="747"/>
      <c r="F12" s="747"/>
      <c r="G12" s="747"/>
      <c r="H12" s="747"/>
      <c r="I12" s="747"/>
      <c r="J12" s="747"/>
      <c r="K12" s="745"/>
      <c r="P12" s="748"/>
      <c r="Q12" s="748"/>
      <c r="R12" s="788"/>
      <c r="S12" s="726"/>
      <c r="T12" s="801"/>
      <c r="U12" s="29"/>
      <c r="V12" s="457"/>
      <c r="W12" s="458" t="str">
        <f>Z8&amp;"-"&amp;AB8</f>
        <v>-</v>
      </c>
      <c r="X12" s="457"/>
      <c r="Y12" s="458" t="str">
        <f>AB8&amp;"-"&amp;AD8</f>
        <v>-да</v>
      </c>
      <c r="Z12" s="457"/>
      <c r="AA12" s="457"/>
      <c r="AB12" s="457"/>
      <c r="AC12" s="457"/>
      <c r="AD12" s="687"/>
      <c r="AE12" s="98"/>
      <c r="AF12" s="37"/>
      <c r="AG12" s="37" t="s">
        <v>508</v>
      </c>
      <c r="AH12" s="457"/>
      <c r="AI12" s="457"/>
      <c r="AJ12" s="457"/>
      <c r="AK12" s="457"/>
      <c r="AL12" s="457"/>
      <c r="AM12" s="457"/>
      <c r="AN12" s="457"/>
      <c r="AO12" s="457"/>
      <c r="AP12" s="457"/>
      <c r="AQ12" s="457"/>
      <c r="AR12" s="457"/>
      <c r="AS12" s="457"/>
      <c r="AT12" s="457"/>
      <c r="AU12" s="458" t="str">
        <f>AX8&amp;"-"&amp;AZ8</f>
        <v>-</v>
      </c>
      <c r="AV12" s="457"/>
      <c r="AW12" s="458" t="str">
        <f>AZ8&amp;"-"&amp;BB8</f>
        <v>-</v>
      </c>
      <c r="AX12" s="457"/>
      <c r="AY12" s="457"/>
      <c r="AZ12" s="457"/>
      <c r="BA12" s="457"/>
      <c r="BB12" s="460" t="str">
        <f>BE8&amp;"-"&amp;BG8</f>
        <v>-</v>
      </c>
      <c r="BC12" s="763"/>
      <c r="BF12" s="46" t="str">
        <f t="shared" ref="BF12:BF18" si="1">IF(T12="","",T12)</f>
        <v/>
      </c>
      <c r="BI12" s="4">
        <v>0</v>
      </c>
    </row>
    <row r="13" spans="5:61" ht="11.25" hidden="1" customHeight="1">
      <c r="E13" s="747"/>
      <c r="F13" s="747"/>
      <c r="G13" s="747"/>
      <c r="H13" s="747"/>
      <c r="I13" s="747"/>
      <c r="J13" s="745"/>
      <c r="P13" s="748"/>
      <c r="Q13" s="748"/>
      <c r="R13" s="120"/>
      <c r="S13" s="434"/>
      <c r="T13" s="37" t="s">
        <v>471</v>
      </c>
      <c r="U13" s="58"/>
      <c r="V13" s="58"/>
      <c r="W13" s="58"/>
      <c r="X13" s="58"/>
      <c r="Y13" s="58"/>
      <c r="Z13" s="58"/>
      <c r="AA13" s="58"/>
      <c r="AB13" s="58"/>
      <c r="AC13" s="58"/>
      <c r="AD13" s="184"/>
      <c r="AE13" s="58"/>
      <c r="AF13" s="58"/>
      <c r="AG13" s="58"/>
      <c r="AH13" s="58"/>
      <c r="AI13" s="58"/>
      <c r="AJ13" s="58"/>
      <c r="AK13" s="58"/>
      <c r="AL13" s="58"/>
      <c r="AM13" s="58"/>
      <c r="AN13" s="58"/>
      <c r="AO13" s="58"/>
      <c r="AP13" s="58"/>
      <c r="AQ13" s="58"/>
      <c r="AR13" s="58"/>
      <c r="AS13" s="58"/>
      <c r="AT13" s="58"/>
      <c r="AU13" s="58"/>
      <c r="AV13" s="58"/>
      <c r="AW13" s="58"/>
      <c r="AX13" s="58"/>
      <c r="AY13" s="58"/>
      <c r="AZ13" s="58"/>
      <c r="BA13" s="58"/>
      <c r="BB13" s="59"/>
      <c r="BC13" s="764"/>
      <c r="BF13" s="46" t="str">
        <f t="shared" si="1"/>
        <v>Добавить строку</v>
      </c>
      <c r="BI13" s="4">
        <v>0</v>
      </c>
    </row>
    <row r="14" spans="5:61" s="46" customFormat="1" ht="14.25" hidden="1" customHeight="1">
      <c r="E14" s="747"/>
      <c r="F14" s="747"/>
      <c r="G14" s="747"/>
      <c r="H14" s="747"/>
      <c r="I14" s="745"/>
      <c r="M14" s="160"/>
      <c r="N14" s="160"/>
      <c r="O14" s="160"/>
      <c r="P14" s="748"/>
      <c r="R14" s="120"/>
      <c r="S14" s="455"/>
      <c r="T14" s="354"/>
      <c r="U14" s="354"/>
      <c r="V14" s="354"/>
      <c r="W14" s="354"/>
      <c r="X14" s="354"/>
      <c r="Y14" s="354"/>
      <c r="Z14" s="354"/>
      <c r="AA14" s="354"/>
      <c r="AB14" s="354"/>
      <c r="AC14" s="354"/>
      <c r="AD14" s="354"/>
      <c r="AE14" s="354"/>
      <c r="AF14" s="354"/>
      <c r="AG14" s="354"/>
      <c r="AH14" s="354"/>
      <c r="AI14" s="354"/>
      <c r="AJ14" s="354"/>
      <c r="AK14" s="354"/>
      <c r="AL14" s="354"/>
      <c r="AM14" s="354"/>
      <c r="AN14" s="354"/>
      <c r="AO14" s="354"/>
      <c r="AP14" s="354"/>
      <c r="AQ14" s="354"/>
      <c r="AR14" s="354"/>
      <c r="AS14" s="354"/>
      <c r="AT14" s="354"/>
      <c r="AU14" s="354"/>
      <c r="AV14" s="354"/>
      <c r="AW14" s="354"/>
      <c r="AX14" s="354"/>
      <c r="AY14" s="354"/>
      <c r="AZ14" s="354"/>
      <c r="BA14" s="354"/>
      <c r="BB14" s="354"/>
      <c r="BC14" s="314"/>
      <c r="BF14" s="46" t="str">
        <f t="shared" si="1"/>
        <v/>
      </c>
      <c r="BI14" s="46">
        <v>0</v>
      </c>
    </row>
    <row r="15" spans="5:61" s="46" customFormat="1" ht="14.25" hidden="1" customHeight="1">
      <c r="E15" s="747"/>
      <c r="F15" s="747"/>
      <c r="G15" s="747"/>
      <c r="H15" s="745"/>
      <c r="Q15" s="446"/>
      <c r="R15" s="120"/>
      <c r="S15" s="455"/>
      <c r="T15" s="354"/>
      <c r="U15" s="354"/>
      <c r="V15" s="354"/>
      <c r="W15" s="354"/>
      <c r="X15" s="354"/>
      <c r="Y15" s="354"/>
      <c r="Z15" s="354"/>
      <c r="AA15" s="354"/>
      <c r="AB15" s="354"/>
      <c r="AC15" s="354"/>
      <c r="AD15" s="354"/>
      <c r="AE15" s="354"/>
      <c r="AF15" s="354"/>
      <c r="AG15" s="354"/>
      <c r="AH15" s="354"/>
      <c r="AI15" s="354"/>
      <c r="AJ15" s="354"/>
      <c r="AK15" s="354"/>
      <c r="AL15" s="354"/>
      <c r="AM15" s="354"/>
      <c r="AN15" s="354"/>
      <c r="AO15" s="354"/>
      <c r="AP15" s="354"/>
      <c r="AQ15" s="354"/>
      <c r="AR15" s="354"/>
      <c r="AS15" s="354"/>
      <c r="AT15" s="354"/>
      <c r="AU15" s="354"/>
      <c r="AV15" s="354"/>
      <c r="AW15" s="354"/>
      <c r="AX15" s="354"/>
      <c r="AY15" s="354"/>
      <c r="AZ15" s="354"/>
      <c r="BA15" s="354"/>
      <c r="BB15" s="354"/>
      <c r="BC15" s="314"/>
      <c r="BF15" s="46" t="str">
        <f t="shared" si="1"/>
        <v/>
      </c>
      <c r="BI15" s="46">
        <v>0</v>
      </c>
    </row>
    <row r="16" spans="5:61" s="46" customFormat="1" ht="14.25" hidden="1" customHeight="1">
      <c r="E16" s="747"/>
      <c r="F16" s="747"/>
      <c r="G16" s="745"/>
      <c r="Q16" s="446"/>
      <c r="S16" s="449"/>
      <c r="T16" s="160"/>
      <c r="U16" s="160"/>
      <c r="V16" s="160"/>
      <c r="W16" s="160"/>
      <c r="X16" s="160"/>
      <c r="Y16" s="160"/>
      <c r="Z16" s="160"/>
      <c r="AA16" s="160"/>
      <c r="AB16" s="160"/>
      <c r="AC16" s="160"/>
      <c r="AD16" s="160"/>
      <c r="AE16" s="160"/>
      <c r="AF16" s="160"/>
      <c r="AG16" s="160"/>
      <c r="AH16" s="160"/>
      <c r="AI16" s="160"/>
      <c r="AJ16" s="160"/>
      <c r="AK16" s="160"/>
      <c r="AL16" s="160"/>
      <c r="AM16" s="160"/>
      <c r="AN16" s="160"/>
      <c r="AO16" s="160"/>
      <c r="AP16" s="160"/>
      <c r="AQ16" s="160"/>
      <c r="AR16" s="160"/>
      <c r="AS16" s="160"/>
      <c r="AT16" s="160"/>
      <c r="AU16" s="160"/>
      <c r="AV16" s="160"/>
      <c r="AW16" s="160"/>
      <c r="AX16" s="160"/>
      <c r="AY16" s="160"/>
      <c r="AZ16" s="160"/>
      <c r="BA16" s="160"/>
      <c r="BB16" s="160"/>
      <c r="BC16" s="160"/>
      <c r="BF16" s="46" t="str">
        <f t="shared" si="1"/>
        <v/>
      </c>
      <c r="BI16" s="46">
        <v>0</v>
      </c>
    </row>
    <row r="17" spans="1:61" s="46" customFormat="1" ht="14.25" hidden="1" customHeight="1">
      <c r="E17" s="747"/>
      <c r="F17" s="745"/>
      <c r="M17" s="160"/>
      <c r="N17" s="160"/>
      <c r="Q17" s="446"/>
      <c r="S17" s="449"/>
      <c r="T17" s="160" t="s">
        <v>418</v>
      </c>
      <c r="U17" s="160"/>
      <c r="V17" s="160"/>
      <c r="W17" s="160"/>
      <c r="X17" s="160"/>
      <c r="Y17" s="160"/>
      <c r="Z17" s="160"/>
      <c r="AA17" s="160"/>
      <c r="AB17" s="160"/>
      <c r="AC17" s="160"/>
      <c r="AD17" s="160"/>
      <c r="AE17" s="160"/>
      <c r="AF17" s="160"/>
      <c r="AG17" s="160"/>
      <c r="AH17" s="160"/>
      <c r="AI17" s="160"/>
      <c r="AJ17" s="160"/>
      <c r="AK17" s="160"/>
      <c r="AL17" s="160"/>
      <c r="AM17" s="160"/>
      <c r="AN17" s="160"/>
      <c r="AO17" s="160"/>
      <c r="AP17" s="160"/>
      <c r="AQ17" s="160"/>
      <c r="AR17" s="160"/>
      <c r="AS17" s="160"/>
      <c r="AT17" s="160"/>
      <c r="AU17" s="160"/>
      <c r="AV17" s="160"/>
      <c r="AW17" s="160"/>
      <c r="AX17" s="160"/>
      <c r="AY17" s="160"/>
      <c r="AZ17" s="160"/>
      <c r="BA17" s="160"/>
      <c r="BB17" s="160"/>
      <c r="BC17" s="160"/>
      <c r="BF17" s="46" t="str">
        <f t="shared" si="1"/>
        <v>Добавить централизованную систему для дифференциации</v>
      </c>
      <c r="BI17" s="46">
        <v>0</v>
      </c>
    </row>
    <row r="18" spans="1:61" s="46" customFormat="1" ht="14.25" hidden="1" customHeight="1">
      <c r="E18" s="745"/>
      <c r="M18" s="160"/>
      <c r="N18" s="160"/>
      <c r="Q18" s="446"/>
      <c r="S18" s="449"/>
      <c r="T18" s="160" t="s">
        <v>419</v>
      </c>
      <c r="U18" s="160"/>
      <c r="V18" s="160"/>
      <c r="W18" s="160"/>
      <c r="X18" s="160"/>
      <c r="Y18" s="160"/>
      <c r="Z18" s="160"/>
      <c r="AA18" s="160"/>
      <c r="AB18" s="160"/>
      <c r="AC18" s="160"/>
      <c r="AD18" s="160"/>
      <c r="AE18" s="160"/>
      <c r="AF18" s="160"/>
      <c r="AG18" s="160"/>
      <c r="AH18" s="160"/>
      <c r="AI18" s="160"/>
      <c r="AJ18" s="160"/>
      <c r="AK18" s="160"/>
      <c r="AL18" s="160"/>
      <c r="AM18" s="160"/>
      <c r="AN18" s="160"/>
      <c r="AO18" s="160"/>
      <c r="AP18" s="160"/>
      <c r="AQ18" s="160"/>
      <c r="AR18" s="160"/>
      <c r="AS18" s="160"/>
      <c r="AT18" s="160"/>
      <c r="AU18" s="160"/>
      <c r="AV18" s="160"/>
      <c r="AW18" s="160"/>
      <c r="AX18" s="160"/>
      <c r="AY18" s="160"/>
      <c r="AZ18" s="160"/>
      <c r="BA18" s="160"/>
      <c r="BB18" s="160"/>
      <c r="BC18" s="160"/>
      <c r="BF18" s="46" t="str">
        <f t="shared" si="1"/>
        <v>Добавить территорию для дифференциации</v>
      </c>
      <c r="BI18" s="46">
        <v>0</v>
      </c>
    </row>
    <row r="19" spans="1:61" ht="14.25" hidden="1" customHeight="1">
      <c r="BI19" s="4">
        <v>0</v>
      </c>
    </row>
    <row r="20" spans="1:61" ht="14.25" hidden="1" customHeight="1">
      <c r="AD20" s="160" t="s">
        <v>19</v>
      </c>
      <c r="AE20" s="478"/>
      <c r="AF20" s="160">
        <v>1</v>
      </c>
      <c r="AG20" s="160"/>
      <c r="AH20" s="160" t="s">
        <v>19</v>
      </c>
      <c r="AI20" s="478"/>
      <c r="AJ20" s="160">
        <v>1</v>
      </c>
      <c r="AK20" s="160"/>
      <c r="AL20" s="160" t="s">
        <v>19</v>
      </c>
      <c r="AM20" s="46"/>
      <c r="AN20" s="160">
        <v>1</v>
      </c>
      <c r="AO20" s="46"/>
      <c r="AP20" s="160" t="s">
        <v>19</v>
      </c>
      <c r="AQ20" s="46"/>
      <c r="AR20" s="160">
        <v>1</v>
      </c>
      <c r="AS20" s="46"/>
      <c r="AT20" s="110"/>
      <c r="AU20" s="123"/>
      <c r="AV20" s="110"/>
      <c r="AW20" s="123"/>
      <c r="AX20" s="547"/>
      <c r="AY20" s="332" t="s">
        <v>66</v>
      </c>
      <c r="AZ20" s="547"/>
      <c r="BA20" s="332" t="s">
        <v>66</v>
      </c>
      <c r="BI20" s="4">
        <v>0</v>
      </c>
    </row>
    <row r="21" spans="1:61" ht="14.25" hidden="1" customHeight="1">
      <c r="BD21" s="117"/>
      <c r="BE21" s="117"/>
      <c r="BF21" s="117"/>
      <c r="BG21" s="117"/>
      <c r="BH21" s="117"/>
      <c r="BI21" s="4">
        <v>0</v>
      </c>
    </row>
    <row r="22" spans="1:61" ht="14.25" hidden="1" customHeight="1">
      <c r="O22" s="261" t="s">
        <v>420</v>
      </c>
      <c r="Z22" s="31"/>
      <c r="AB22" s="31"/>
      <c r="AX22" s="31"/>
      <c r="AZ22" s="31"/>
      <c r="BD22" s="117"/>
      <c r="BE22" s="117"/>
      <c r="BF22" s="117"/>
      <c r="BG22" s="117"/>
      <c r="BH22" s="117"/>
      <c r="BI22" s="4">
        <v>0</v>
      </c>
    </row>
    <row r="23" spans="1:61" ht="14.25" hidden="1" customHeight="1">
      <c r="BD23" s="117"/>
      <c r="BE23" s="117"/>
      <c r="BF23" s="117"/>
      <c r="BG23" s="117"/>
      <c r="BH23" s="117"/>
      <c r="BI23" s="4">
        <v>0</v>
      </c>
    </row>
    <row r="24" spans="1:61" s="43" customFormat="1" ht="14.25" hidden="1" customHeight="1">
      <c r="M24" s="167"/>
      <c r="N24" s="167"/>
      <c r="O24" s="43" t="s">
        <v>421</v>
      </c>
      <c r="P24" s="167"/>
      <c r="Q24" s="452"/>
      <c r="R24" s="452"/>
      <c r="AA24" s="43" t="s">
        <v>423</v>
      </c>
      <c r="AC24" s="43" t="s">
        <v>424</v>
      </c>
      <c r="AD24" s="43" t="s">
        <v>472</v>
      </c>
      <c r="AH24" s="43" t="s">
        <v>472</v>
      </c>
      <c r="AK24" s="43" t="s">
        <v>509</v>
      </c>
      <c r="AL24" s="43" t="s">
        <v>472</v>
      </c>
      <c r="AP24" s="43" t="s">
        <v>472</v>
      </c>
      <c r="AY24" s="43" t="s">
        <v>423</v>
      </c>
      <c r="BA24" s="43" t="s">
        <v>424</v>
      </c>
      <c r="BD24" s="46"/>
      <c r="BE24" s="46"/>
      <c r="BF24" s="46"/>
      <c r="BG24" s="46"/>
      <c r="BH24" s="46"/>
      <c r="BI24" s="43">
        <v>0</v>
      </c>
    </row>
    <row r="25" spans="1:61" ht="14.25" hidden="1" customHeight="1">
      <c r="O25" s="43"/>
      <c r="BD25" s="117"/>
      <c r="BE25" s="117"/>
      <c r="BF25" s="117"/>
      <c r="BG25" s="117"/>
      <c r="BH25" s="117"/>
      <c r="BI25" s="4">
        <v>0</v>
      </c>
    </row>
    <row r="26" spans="1:61" ht="14.25" hidden="1" customHeight="1">
      <c r="O26" s="43"/>
      <c r="BD26" s="117"/>
      <c r="BE26" s="117"/>
      <c r="BF26" s="117"/>
      <c r="BG26" s="117"/>
      <c r="BH26" s="117"/>
      <c r="BI26" s="4">
        <v>0</v>
      </c>
    </row>
    <row r="27" spans="1:61" ht="14.65" customHeight="1">
      <c r="Q27" s="97"/>
      <c r="R27" s="19"/>
      <c r="S27" s="6"/>
      <c r="T27" s="6"/>
      <c r="U27" s="6"/>
      <c r="BI27" s="4">
        <v>14</v>
      </c>
    </row>
    <row r="28" spans="1:61" ht="14.65" customHeight="1">
      <c r="Q28" s="97"/>
      <c r="R28" s="19"/>
      <c r="S28" s="697" t="str">
        <f>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697"/>
      <c r="U28" s="697"/>
      <c r="V28" s="697"/>
      <c r="W28" s="697"/>
      <c r="X28" s="697"/>
      <c r="Y28" s="697"/>
      <c r="Z28" s="697"/>
      <c r="AA28" s="697"/>
      <c r="AB28" s="697"/>
      <c r="AC28" s="697"/>
      <c r="AD28" s="697"/>
      <c r="AE28" s="697"/>
      <c r="AF28" s="697"/>
      <c r="AG28" s="697"/>
      <c r="AH28" s="697"/>
      <c r="AI28" s="697"/>
      <c r="AJ28" s="697"/>
      <c r="AK28" s="697"/>
      <c r="AL28" s="697"/>
      <c r="AM28" s="697"/>
      <c r="AN28" s="697"/>
      <c r="AO28" s="697"/>
      <c r="AP28" s="697"/>
      <c r="AQ28" s="697"/>
      <c r="AR28" s="697"/>
      <c r="AS28" s="697"/>
      <c r="AT28" s="697"/>
      <c r="AU28" s="697"/>
      <c r="AV28" s="697"/>
      <c r="AW28" s="697"/>
      <c r="AX28" s="697"/>
      <c r="AY28" s="697"/>
      <c r="AZ28" s="697"/>
      <c r="BA28" s="40"/>
      <c r="BI28" s="4">
        <v>14</v>
      </c>
    </row>
    <row r="29" spans="1:61" ht="14.65" customHeight="1">
      <c r="Q29" s="97"/>
      <c r="R29" s="19"/>
      <c r="S29" s="712" t="str">
        <f>IF(org=0,"Не определено",org)</f>
        <v>ООО "Восточная Тепловая компания"</v>
      </c>
      <c r="T29" s="712"/>
      <c r="U29" s="712"/>
      <c r="V29" s="712"/>
      <c r="W29" s="712"/>
      <c r="X29" s="712"/>
      <c r="Y29" s="712"/>
      <c r="Z29" s="712"/>
      <c r="AA29" s="712"/>
      <c r="AB29" s="712"/>
      <c r="AC29" s="712"/>
      <c r="AD29" s="712"/>
      <c r="AE29" s="712"/>
      <c r="AF29" s="712"/>
      <c r="AG29" s="712"/>
      <c r="AH29" s="712"/>
      <c r="AI29" s="712"/>
      <c r="AJ29" s="712"/>
      <c r="AK29" s="712"/>
      <c r="AL29" s="712"/>
      <c r="AM29" s="712"/>
      <c r="AN29" s="712"/>
      <c r="AO29" s="712"/>
      <c r="AP29" s="712"/>
      <c r="AQ29" s="712"/>
      <c r="AR29" s="712"/>
      <c r="AS29" s="712"/>
      <c r="AT29" s="712"/>
      <c r="AU29" s="712"/>
      <c r="AV29" s="712"/>
      <c r="AW29" s="712"/>
      <c r="AX29" s="712"/>
      <c r="AY29" s="712"/>
      <c r="AZ29" s="712"/>
      <c r="BA29" s="40"/>
      <c r="BI29" s="4">
        <v>14</v>
      </c>
    </row>
    <row r="30" spans="1:61" ht="14.25" hidden="1" customHeight="1">
      <c r="Q30" s="97"/>
      <c r="R30" s="19"/>
      <c r="S30" s="6"/>
      <c r="T30" s="6"/>
      <c r="U30" s="6"/>
      <c r="V30" s="109"/>
      <c r="W30" s="109"/>
      <c r="X30" s="109"/>
      <c r="Y30" s="109"/>
      <c r="Z30" s="109"/>
      <c r="AA30" s="109"/>
      <c r="AB30" s="109"/>
      <c r="AC30" s="109"/>
      <c r="AD30" s="109"/>
      <c r="AE30" s="109"/>
      <c r="AF30" s="109"/>
      <c r="AG30" s="109"/>
      <c r="AH30" s="109"/>
      <c r="AI30" s="109"/>
      <c r="AJ30" s="109"/>
      <c r="AK30" s="109"/>
      <c r="AL30" s="109"/>
      <c r="AM30" s="109"/>
      <c r="AN30" s="109"/>
      <c r="AO30" s="109"/>
      <c r="AP30" s="109"/>
      <c r="AQ30" s="109"/>
      <c r="AR30" s="109"/>
      <c r="AS30" s="109"/>
      <c r="AT30" s="109"/>
      <c r="AU30" s="109"/>
      <c r="AV30" s="109"/>
      <c r="AW30" s="109"/>
      <c r="AX30" s="109"/>
      <c r="AY30" s="109"/>
      <c r="AZ30" s="109"/>
      <c r="BA30" s="109"/>
      <c r="BI30" s="4">
        <v>0</v>
      </c>
    </row>
    <row r="31" spans="1:61" s="22" customFormat="1" ht="25.5" hidden="1" customHeight="1">
      <c r="A31" s="43"/>
      <c r="B31" s="43"/>
      <c r="C31" s="43"/>
      <c r="D31" s="43"/>
      <c r="E31" s="43"/>
      <c r="F31" s="43"/>
      <c r="G31" s="43"/>
      <c r="H31" s="43"/>
      <c r="I31" s="43"/>
      <c r="J31" s="43"/>
      <c r="K31" s="43"/>
      <c r="L31" s="43"/>
      <c r="M31" s="43"/>
      <c r="N31" s="43"/>
      <c r="O31" s="43"/>
      <c r="P31" s="43"/>
      <c r="Q31" s="43"/>
      <c r="S31" s="721" t="s">
        <v>42</v>
      </c>
      <c r="T31" s="721"/>
      <c r="U31" s="453"/>
      <c r="V31" s="741" t="str">
        <f>IF(TITLE_NAME_OR_PR_CHANGE="",IF(TITLE_NAME_OR_PR="","",TITLE_NAME_OR_PR),TITLE_NAME_OR_PR_CHANGE)</f>
        <v/>
      </c>
      <c r="W31" s="741"/>
      <c r="X31" s="741"/>
      <c r="Y31" s="741"/>
      <c r="Z31" s="741"/>
      <c r="AA31" s="741"/>
      <c r="AB31" s="741"/>
      <c r="AC31" s="4"/>
      <c r="AD31" s="741" t="str">
        <f>IF(TITLE_NAME_OR_PR_CHANGE="",IF(TITLE_NAME_OR_PR="","",TITLE_NAME_OR_PR),TITLE_NAME_OR_PR_CHANGE)</f>
        <v/>
      </c>
      <c r="AE31" s="741"/>
      <c r="AF31" s="741"/>
      <c r="AG31" s="741"/>
      <c r="AH31" s="741"/>
      <c r="AI31" s="741"/>
      <c r="AJ31" s="741"/>
      <c r="AK31" s="741"/>
      <c r="AL31" s="741"/>
      <c r="AM31" s="741"/>
      <c r="AN31" s="741"/>
      <c r="AO31" s="741"/>
      <c r="AP31" s="741"/>
      <c r="AQ31" s="741"/>
      <c r="AR31" s="741"/>
      <c r="AS31" s="741"/>
      <c r="AT31" s="741"/>
      <c r="AU31" s="741"/>
      <c r="AV31" s="741"/>
      <c r="AW31" s="741"/>
      <c r="AX31" s="741"/>
      <c r="AY31" s="741"/>
      <c r="AZ31" s="741"/>
      <c r="BA31" s="4"/>
      <c r="BB31" s="4"/>
      <c r="BC31" s="96"/>
      <c r="BD31" s="46"/>
      <c r="BE31" s="46"/>
      <c r="BF31" s="46"/>
      <c r="BG31" s="46"/>
      <c r="BH31" s="46"/>
      <c r="BI31" s="22">
        <v>0</v>
      </c>
    </row>
    <row r="32" spans="1:61" s="22" customFormat="1" ht="18.75" hidden="1" customHeight="1">
      <c r="A32" s="43"/>
      <c r="B32" s="43"/>
      <c r="C32" s="43"/>
      <c r="D32" s="43"/>
      <c r="E32" s="43"/>
      <c r="F32" s="43"/>
      <c r="G32" s="43"/>
      <c r="H32" s="43"/>
      <c r="I32" s="43"/>
      <c r="J32" s="43"/>
      <c r="K32" s="43"/>
      <c r="L32" s="43"/>
      <c r="M32" s="43"/>
      <c r="N32" s="43"/>
      <c r="O32" s="43"/>
      <c r="P32" s="43"/>
      <c r="Q32" s="43"/>
      <c r="S32" s="721" t="s">
        <v>426</v>
      </c>
      <c r="T32" s="721"/>
      <c r="U32" s="453"/>
      <c r="V32" s="740" t="str">
        <f>IF(TITLE_DATE_PR_CHANGE="",IF(TITLE_DATE_PR="","",TITLE_DATE_PR),TITLE_DATE_PR_CHANGE)</f>
        <v/>
      </c>
      <c r="W32" s="740"/>
      <c r="X32" s="740"/>
      <c r="Y32" s="740"/>
      <c r="Z32" s="740"/>
      <c r="AA32" s="740"/>
      <c r="AB32" s="740"/>
      <c r="AC32" s="4"/>
      <c r="AD32" s="740" t="str">
        <f>IF(TITLE_DATE_PR_CHANGE="",IF(TITLE_DATE_PR="","",TITLE_DATE_PR),TITLE_DATE_PR_CHANGE)</f>
        <v/>
      </c>
      <c r="AE32" s="740"/>
      <c r="AF32" s="740"/>
      <c r="AG32" s="740"/>
      <c r="AH32" s="740"/>
      <c r="AI32" s="740"/>
      <c r="AJ32" s="740"/>
      <c r="AK32" s="740"/>
      <c r="AL32" s="740"/>
      <c r="AM32" s="740"/>
      <c r="AN32" s="740"/>
      <c r="AO32" s="740"/>
      <c r="AP32" s="740"/>
      <c r="AQ32" s="740"/>
      <c r="AR32" s="740"/>
      <c r="AS32" s="740"/>
      <c r="AT32" s="740"/>
      <c r="AU32" s="740"/>
      <c r="AV32" s="740"/>
      <c r="AW32" s="740"/>
      <c r="AX32" s="740"/>
      <c r="AY32" s="740"/>
      <c r="AZ32" s="740"/>
      <c r="BA32" s="4"/>
      <c r="BB32" s="4"/>
      <c r="BC32" s="96"/>
      <c r="BD32" s="46"/>
      <c r="BE32" s="46"/>
      <c r="BF32" s="46"/>
      <c r="BG32" s="46"/>
      <c r="BH32" s="46"/>
      <c r="BI32" s="22">
        <v>0</v>
      </c>
    </row>
    <row r="33" spans="1:61" s="22" customFormat="1" ht="18.75" hidden="1" customHeight="1">
      <c r="A33" s="43"/>
      <c r="B33" s="43"/>
      <c r="C33" s="43"/>
      <c r="D33" s="43"/>
      <c r="E33" s="43"/>
      <c r="F33" s="43"/>
      <c r="G33" s="43"/>
      <c r="H33" s="43"/>
      <c r="I33" s="43"/>
      <c r="J33" s="43"/>
      <c r="K33" s="43"/>
      <c r="L33" s="43"/>
      <c r="M33" s="43"/>
      <c r="N33" s="43"/>
      <c r="O33" s="43"/>
      <c r="P33" s="43"/>
      <c r="Q33" s="43"/>
      <c r="S33" s="721" t="s">
        <v>427</v>
      </c>
      <c r="T33" s="721"/>
      <c r="U33" s="453"/>
      <c r="V33" s="741" t="str">
        <f>IF(TITLE_NUMBER_PR_CHANGE="",IF(TITLE_NUMBER_PR="","",TITLE_NUMBER_PR),TITLE_NUMBER_PR_CHANGE)</f>
        <v/>
      </c>
      <c r="W33" s="741"/>
      <c r="X33" s="741"/>
      <c r="Y33" s="741"/>
      <c r="Z33" s="741"/>
      <c r="AA33" s="741"/>
      <c r="AB33" s="741"/>
      <c r="AC33" s="4"/>
      <c r="AD33" s="741" t="str">
        <f>IF(TITLE_NUMBER_PR_CHANGE="",IF(TITLE_NUMBER_PR="","",TITLE_NUMBER_PR),TITLE_NUMBER_PR_CHANGE)</f>
        <v/>
      </c>
      <c r="AE33" s="741"/>
      <c r="AF33" s="741"/>
      <c r="AG33" s="741"/>
      <c r="AH33" s="741"/>
      <c r="AI33" s="741"/>
      <c r="AJ33" s="741"/>
      <c r="AK33" s="741"/>
      <c r="AL33" s="741"/>
      <c r="AM33" s="741"/>
      <c r="AN33" s="741"/>
      <c r="AO33" s="741"/>
      <c r="AP33" s="741"/>
      <c r="AQ33" s="741"/>
      <c r="AR33" s="741"/>
      <c r="AS33" s="741"/>
      <c r="AT33" s="741"/>
      <c r="AU33" s="741"/>
      <c r="AV33" s="741"/>
      <c r="AW33" s="741"/>
      <c r="AX33" s="741"/>
      <c r="AY33" s="741"/>
      <c r="AZ33" s="741"/>
      <c r="BA33" s="4"/>
      <c r="BB33" s="4"/>
      <c r="BC33" s="96"/>
      <c r="BD33" s="46"/>
      <c r="BE33" s="46"/>
      <c r="BF33" s="46"/>
      <c r="BG33" s="46"/>
      <c r="BH33" s="46"/>
      <c r="BI33" s="22">
        <v>0</v>
      </c>
    </row>
    <row r="34" spans="1:61" s="22" customFormat="1" ht="18.75" hidden="1" customHeight="1">
      <c r="A34" s="43"/>
      <c r="B34" s="43"/>
      <c r="C34" s="43"/>
      <c r="D34" s="43"/>
      <c r="E34" s="43"/>
      <c r="F34" s="43"/>
      <c r="G34" s="43"/>
      <c r="H34" s="43"/>
      <c r="I34" s="43"/>
      <c r="J34" s="43"/>
      <c r="K34" s="43"/>
      <c r="L34" s="43"/>
      <c r="M34" s="43"/>
      <c r="N34" s="43"/>
      <c r="O34" s="43"/>
      <c r="P34" s="43"/>
      <c r="Q34" s="43"/>
      <c r="S34" s="721" t="s">
        <v>43</v>
      </c>
      <c r="T34" s="721"/>
      <c r="U34" s="453"/>
      <c r="V34" s="741" t="str">
        <f>IF(TITLE_IST_PUB_CHANGE="",IF(TITLE_IST_PUB="","",TITLE_IST_PUB),TITLE_IST_PUB_CHANGE)</f>
        <v/>
      </c>
      <c r="W34" s="741"/>
      <c r="X34" s="741"/>
      <c r="Y34" s="741"/>
      <c r="Z34" s="741"/>
      <c r="AA34" s="741"/>
      <c r="AB34" s="741"/>
      <c r="AC34" s="4"/>
      <c r="AD34" s="741" t="str">
        <f>IF(TITLE_IST_PUB_CHANGE="",IF(TITLE_IST_PUB="","",TITLE_IST_PUB),TITLE_IST_PUB_CHANGE)</f>
        <v/>
      </c>
      <c r="AE34" s="741"/>
      <c r="AF34" s="741"/>
      <c r="AG34" s="741"/>
      <c r="AH34" s="741"/>
      <c r="AI34" s="741"/>
      <c r="AJ34" s="741"/>
      <c r="AK34" s="741"/>
      <c r="AL34" s="741"/>
      <c r="AM34" s="741"/>
      <c r="AN34" s="741"/>
      <c r="AO34" s="741"/>
      <c r="AP34" s="741"/>
      <c r="AQ34" s="741"/>
      <c r="AR34" s="741"/>
      <c r="AS34" s="741"/>
      <c r="AT34" s="741"/>
      <c r="AU34" s="741"/>
      <c r="AV34" s="741"/>
      <c r="AW34" s="741"/>
      <c r="AX34" s="741"/>
      <c r="AY34" s="741"/>
      <c r="AZ34" s="741"/>
      <c r="BA34" s="4"/>
      <c r="BB34" s="4"/>
      <c r="BC34" s="96"/>
      <c r="BD34" s="46"/>
      <c r="BE34" s="46"/>
      <c r="BF34" s="46"/>
      <c r="BG34" s="46"/>
      <c r="BH34" s="46"/>
      <c r="BI34" s="22">
        <v>0</v>
      </c>
    </row>
    <row r="35" spans="1:61" ht="14.25" hidden="1" customHeight="1">
      <c r="Q35" s="97"/>
      <c r="R35" s="19"/>
      <c r="S35" s="6"/>
      <c r="T35" s="6"/>
      <c r="U35" s="6"/>
      <c r="V35" s="109"/>
      <c r="W35" s="109"/>
      <c r="X35" s="109"/>
      <c r="Y35" s="109"/>
      <c r="Z35" s="109"/>
      <c r="AA35" s="109"/>
      <c r="AB35" s="109"/>
      <c r="AC35" s="109"/>
      <c r="AD35" s="109"/>
      <c r="AE35" s="109"/>
      <c r="AF35" s="109"/>
      <c r="AG35" s="109"/>
      <c r="AH35" s="109"/>
      <c r="AI35" s="109"/>
      <c r="AJ35" s="109"/>
      <c r="AK35" s="109"/>
      <c r="AL35" s="109"/>
      <c r="AM35" s="109"/>
      <c r="AN35" s="109"/>
      <c r="AO35" s="109"/>
      <c r="AP35" s="109"/>
      <c r="AQ35" s="109"/>
      <c r="AR35" s="109"/>
      <c r="AS35" s="109"/>
      <c r="AT35" s="109"/>
      <c r="AU35" s="109"/>
      <c r="AV35" s="109"/>
      <c r="AW35" s="109"/>
      <c r="AX35" s="109"/>
      <c r="AY35" s="109"/>
      <c r="AZ35" s="109"/>
      <c r="BA35" s="109"/>
      <c r="BI35" s="4">
        <v>0</v>
      </c>
    </row>
    <row r="36" spans="1:61" s="22" customFormat="1" ht="18.75" hidden="1" customHeight="1">
      <c r="A36" s="43"/>
      <c r="B36" s="43"/>
      <c r="C36" s="43"/>
      <c r="D36" s="43"/>
      <c r="E36" s="43"/>
      <c r="F36" s="43"/>
      <c r="G36" s="43"/>
      <c r="H36" s="43"/>
      <c r="I36" s="43"/>
      <c r="J36" s="43"/>
      <c r="K36" s="43"/>
      <c r="L36" s="43"/>
      <c r="M36" s="43"/>
      <c r="N36" s="43"/>
      <c r="O36" s="43"/>
      <c r="P36" s="43"/>
      <c r="Q36" s="43"/>
      <c r="S36" s="721" t="s">
        <v>426</v>
      </c>
      <c r="T36" s="721"/>
      <c r="U36" s="453"/>
      <c r="V36" s="740" t="str">
        <f>IF(TITLE_DATE_PR_CHANGE="",IF(TITLE_DATE_PR="","",TITLE_DATE_PR),TITLE_DATE_PR_CHANGE)</f>
        <v/>
      </c>
      <c r="W36" s="740"/>
      <c r="X36" s="740"/>
      <c r="Y36" s="740"/>
      <c r="Z36" s="740"/>
      <c r="AA36" s="740"/>
      <c r="AB36" s="740"/>
      <c r="AC36" s="4"/>
      <c r="AD36" s="740" t="str">
        <f>IF(TITLE_DATE_PR_CHANGE="",IF(TITLE_DATE_PR="","",TITLE_DATE_PR),TITLE_DATE_PR_CHANGE)</f>
        <v/>
      </c>
      <c r="AE36" s="740"/>
      <c r="AF36" s="740"/>
      <c r="AG36" s="740"/>
      <c r="AH36" s="740"/>
      <c r="AI36" s="740"/>
      <c r="AJ36" s="740"/>
      <c r="AK36" s="740"/>
      <c r="AL36" s="740"/>
      <c r="AM36" s="740"/>
      <c r="AN36" s="740"/>
      <c r="AO36" s="740"/>
      <c r="AP36" s="740"/>
      <c r="AQ36" s="740"/>
      <c r="AR36" s="740"/>
      <c r="AS36" s="740"/>
      <c r="AT36" s="740"/>
      <c r="AU36" s="740"/>
      <c r="AV36" s="740"/>
      <c r="AW36" s="740"/>
      <c r="AX36" s="740"/>
      <c r="AY36" s="740"/>
      <c r="AZ36" s="740"/>
      <c r="BA36" s="4"/>
      <c r="BB36" s="4"/>
      <c r="BC36" s="96"/>
      <c r="BD36" s="46"/>
      <c r="BE36" s="46"/>
      <c r="BF36" s="46"/>
      <c r="BG36" s="46"/>
      <c r="BH36" s="46"/>
      <c r="BI36" s="22">
        <v>0</v>
      </c>
    </row>
    <row r="37" spans="1:61" s="22" customFormat="1" ht="18.75" hidden="1" customHeight="1">
      <c r="A37" s="43"/>
      <c r="B37" s="43"/>
      <c r="C37" s="43"/>
      <c r="D37" s="43"/>
      <c r="E37" s="43"/>
      <c r="F37" s="43"/>
      <c r="G37" s="43"/>
      <c r="H37" s="43"/>
      <c r="I37" s="43"/>
      <c r="J37" s="43"/>
      <c r="K37" s="43"/>
      <c r="L37" s="43"/>
      <c r="M37" s="43"/>
      <c r="N37" s="43"/>
      <c r="O37" s="43"/>
      <c r="P37" s="43"/>
      <c r="Q37" s="43"/>
      <c r="S37" s="721" t="s">
        <v>427</v>
      </c>
      <c r="T37" s="721"/>
      <c r="U37" s="453"/>
      <c r="V37" s="741" t="str">
        <f>IF(TITLE_NUMBER_PR_CHANGE="",IF(TITLE_NUMBER_PR="","",TITLE_NUMBER_PR),TITLE_NUMBER_PR_CHANGE)</f>
        <v/>
      </c>
      <c r="W37" s="741"/>
      <c r="X37" s="741"/>
      <c r="Y37" s="741"/>
      <c r="Z37" s="741"/>
      <c r="AA37" s="741"/>
      <c r="AB37" s="741"/>
      <c r="AC37" s="4"/>
      <c r="AD37" s="741" t="str">
        <f>IF(TITLE_NUMBER_PR_CHANGE="",IF(TITLE_NUMBER_PR="","",TITLE_NUMBER_PR),TITLE_NUMBER_PR_CHANGE)</f>
        <v/>
      </c>
      <c r="AE37" s="741"/>
      <c r="AF37" s="741"/>
      <c r="AG37" s="741"/>
      <c r="AH37" s="741"/>
      <c r="AI37" s="741"/>
      <c r="AJ37" s="741"/>
      <c r="AK37" s="741"/>
      <c r="AL37" s="741"/>
      <c r="AM37" s="741"/>
      <c r="AN37" s="741"/>
      <c r="AO37" s="741"/>
      <c r="AP37" s="741"/>
      <c r="AQ37" s="741"/>
      <c r="AR37" s="741"/>
      <c r="AS37" s="741"/>
      <c r="AT37" s="741"/>
      <c r="AU37" s="741"/>
      <c r="AV37" s="741"/>
      <c r="AW37" s="741"/>
      <c r="AX37" s="741"/>
      <c r="AY37" s="741"/>
      <c r="AZ37" s="741"/>
      <c r="BA37" s="4"/>
      <c r="BB37" s="4"/>
      <c r="BC37" s="96"/>
      <c r="BD37" s="46"/>
      <c r="BE37" s="46"/>
      <c r="BF37" s="46"/>
      <c r="BG37" s="46"/>
      <c r="BH37" s="46"/>
      <c r="BI37" s="22">
        <v>0</v>
      </c>
    </row>
    <row r="38" spans="1:61" s="22" customFormat="1" ht="0" hidden="1" customHeight="1">
      <c r="A38" s="43"/>
      <c r="B38" s="43"/>
      <c r="C38" s="43"/>
      <c r="D38" s="43"/>
      <c r="E38" s="43"/>
      <c r="F38" s="43"/>
      <c r="G38" s="43"/>
      <c r="H38" s="43"/>
      <c r="I38" s="43"/>
      <c r="J38" s="43"/>
      <c r="K38" s="43"/>
      <c r="L38" s="43"/>
      <c r="M38" s="43"/>
      <c r="N38" s="43"/>
      <c r="O38" s="43"/>
      <c r="P38" s="43"/>
      <c r="Q38" s="43"/>
      <c r="S38" s="4"/>
      <c r="T38" s="4"/>
      <c r="U38" s="4"/>
      <c r="V38" s="4"/>
      <c r="W38" s="4"/>
      <c r="X38" s="4"/>
      <c r="Y38" s="4"/>
      <c r="Z38" s="4"/>
      <c r="AA38" s="4"/>
      <c r="AB38" s="4"/>
      <c r="AC38" s="46" t="s">
        <v>430</v>
      </c>
      <c r="AD38" s="4"/>
      <c r="AE38" s="4"/>
      <c r="AF38" s="4"/>
      <c r="AG38" s="4"/>
      <c r="AH38" s="4"/>
      <c r="AI38" s="4"/>
      <c r="AJ38" s="4"/>
      <c r="AK38" s="4"/>
      <c r="AL38" s="4"/>
      <c r="AM38" s="4"/>
      <c r="AN38" s="4"/>
      <c r="AO38" s="4"/>
      <c r="AP38" s="4"/>
      <c r="AQ38" s="4"/>
      <c r="AR38" s="4"/>
      <c r="AS38" s="4"/>
      <c r="AT38" s="4"/>
      <c r="AU38" s="4"/>
      <c r="AV38" s="4"/>
      <c r="AW38" s="4"/>
      <c r="AX38" s="4"/>
      <c r="AY38" s="4"/>
      <c r="AZ38" s="4"/>
      <c r="BA38" s="46" t="s">
        <v>430</v>
      </c>
      <c r="BD38" s="46"/>
      <c r="BE38" s="46"/>
      <c r="BF38" s="46"/>
      <c r="BG38" s="46"/>
      <c r="BH38" s="46"/>
      <c r="BI38" s="22">
        <v>0</v>
      </c>
    </row>
    <row r="39" spans="1:61" ht="14.65" customHeight="1">
      <c r="Q39" s="97"/>
      <c r="R39" s="19"/>
      <c r="S39" s="6"/>
      <c r="T39" s="6"/>
      <c r="U39" s="420"/>
      <c r="V39" s="755"/>
      <c r="W39" s="755"/>
      <c r="X39" s="755"/>
      <c r="Y39" s="755"/>
      <c r="Z39" s="755"/>
      <c r="AA39" s="755"/>
      <c r="AB39" s="755"/>
      <c r="AC39" s="755"/>
      <c r="AD39" s="755"/>
      <c r="AE39" s="755"/>
      <c r="AF39" s="755"/>
      <c r="AG39" s="755"/>
      <c r="AH39" s="755"/>
      <c r="AI39" s="755"/>
      <c r="AJ39" s="755"/>
      <c r="AK39" s="755"/>
      <c r="AL39" s="755"/>
      <c r="AM39" s="755"/>
      <c r="AN39" s="755"/>
      <c r="AO39" s="755"/>
      <c r="AP39" s="755"/>
      <c r="AQ39" s="755"/>
      <c r="AR39" s="755"/>
      <c r="AS39" s="755"/>
      <c r="AT39" s="755"/>
      <c r="AU39" s="755"/>
      <c r="AV39" s="755"/>
      <c r="AW39" s="755"/>
      <c r="AX39" s="755"/>
      <c r="AY39" s="755"/>
      <c r="AZ39" s="755"/>
      <c r="BA39" s="755"/>
      <c r="BI39" s="4">
        <v>14</v>
      </c>
    </row>
    <row r="40" spans="1:61" ht="14.65" customHeight="1">
      <c r="Q40" s="97"/>
      <c r="R40" s="19"/>
      <c r="S40" s="679" t="s">
        <v>303</v>
      </c>
      <c r="T40" s="679"/>
      <c r="U40" s="679"/>
      <c r="V40" s="679"/>
      <c r="W40" s="679"/>
      <c r="X40" s="679"/>
      <c r="Y40" s="679"/>
      <c r="Z40" s="679"/>
      <c r="AA40" s="679"/>
      <c r="AB40" s="679"/>
      <c r="AC40" s="679"/>
      <c r="AD40" s="679"/>
      <c r="AE40" s="679"/>
      <c r="AF40" s="679"/>
      <c r="AG40" s="679"/>
      <c r="AH40" s="679"/>
      <c r="AI40" s="679"/>
      <c r="AJ40" s="679"/>
      <c r="AK40" s="679"/>
      <c r="AL40" s="679"/>
      <c r="AM40" s="679"/>
      <c r="AN40" s="679"/>
      <c r="AO40" s="679"/>
      <c r="AP40" s="679"/>
      <c r="AQ40" s="679"/>
      <c r="AR40" s="679"/>
      <c r="AS40" s="679"/>
      <c r="AT40" s="679"/>
      <c r="AU40" s="679"/>
      <c r="AV40" s="679"/>
      <c r="AW40" s="679"/>
      <c r="AX40" s="679"/>
      <c r="AY40" s="679"/>
      <c r="AZ40" s="679"/>
      <c r="BA40" s="679"/>
      <c r="BB40" s="679"/>
      <c r="BC40" s="679" t="s">
        <v>304</v>
      </c>
      <c r="BI40" s="4">
        <v>14</v>
      </c>
    </row>
    <row r="41" spans="1:61" ht="14.65" customHeight="1">
      <c r="Q41" s="97"/>
      <c r="R41" s="19"/>
      <c r="S41" s="722" t="s">
        <v>88</v>
      </c>
      <c r="T41" s="722" t="s">
        <v>510</v>
      </c>
      <c r="U41" s="100"/>
      <c r="V41" s="756" t="s">
        <v>432</v>
      </c>
      <c r="W41" s="757"/>
      <c r="X41" s="757"/>
      <c r="Y41" s="757"/>
      <c r="Z41" s="757"/>
      <c r="AA41" s="757"/>
      <c r="AB41" s="758"/>
      <c r="AC41" s="724" t="s">
        <v>433</v>
      </c>
      <c r="AD41" s="777" t="s">
        <v>511</v>
      </c>
      <c r="AE41" s="767"/>
      <c r="AF41" s="767"/>
      <c r="AG41" s="778"/>
      <c r="AH41" s="777" t="s">
        <v>512</v>
      </c>
      <c r="AI41" s="767"/>
      <c r="AJ41" s="767"/>
      <c r="AK41" s="778"/>
      <c r="AL41" s="777" t="s">
        <v>513</v>
      </c>
      <c r="AM41" s="767"/>
      <c r="AN41" s="767"/>
      <c r="AO41" s="778"/>
      <c r="AP41" s="777" t="s">
        <v>514</v>
      </c>
      <c r="AQ41" s="767"/>
      <c r="AR41" s="767"/>
      <c r="AS41" s="778"/>
      <c r="AT41" s="756" t="s">
        <v>432</v>
      </c>
      <c r="AU41" s="757"/>
      <c r="AV41" s="757"/>
      <c r="AW41" s="757"/>
      <c r="AX41" s="757"/>
      <c r="AY41" s="757"/>
      <c r="AZ41" s="758"/>
      <c r="BA41" s="724" t="s">
        <v>433</v>
      </c>
      <c r="BB41" s="759" t="s">
        <v>435</v>
      </c>
      <c r="BC41" s="679"/>
      <c r="BI41" s="4">
        <v>14</v>
      </c>
    </row>
    <row r="42" spans="1:61" ht="35.65" customHeight="1">
      <c r="Q42" s="97"/>
      <c r="R42" s="19"/>
      <c r="S42" s="722"/>
      <c r="T42" s="722"/>
      <c r="U42" s="349"/>
      <c r="V42" s="674" t="s">
        <v>515</v>
      </c>
      <c r="W42" s="672"/>
      <c r="X42" s="674" t="s">
        <v>516</v>
      </c>
      <c r="Y42" s="672"/>
      <c r="Z42" s="674" t="s">
        <v>517</v>
      </c>
      <c r="AA42" s="697"/>
      <c r="AB42" s="672"/>
      <c r="AC42" s="725"/>
      <c r="AD42" s="779"/>
      <c r="AE42" s="780"/>
      <c r="AF42" s="780"/>
      <c r="AG42" s="789"/>
      <c r="AH42" s="779"/>
      <c r="AI42" s="780"/>
      <c r="AJ42" s="780"/>
      <c r="AK42" s="789"/>
      <c r="AL42" s="779"/>
      <c r="AM42" s="780"/>
      <c r="AN42" s="780"/>
      <c r="AO42" s="789"/>
      <c r="AP42" s="779"/>
      <c r="AQ42" s="780"/>
      <c r="AR42" s="780"/>
      <c r="AS42" s="789"/>
      <c r="AT42" s="674" t="s">
        <v>515</v>
      </c>
      <c r="AU42" s="672"/>
      <c r="AV42" s="674" t="s">
        <v>516</v>
      </c>
      <c r="AW42" s="672"/>
      <c r="AX42" s="674" t="s">
        <v>517</v>
      </c>
      <c r="AY42" s="697"/>
      <c r="AZ42" s="672"/>
      <c r="BA42" s="725"/>
      <c r="BB42" s="760"/>
      <c r="BC42" s="679"/>
      <c r="BI42" s="4">
        <v>34</v>
      </c>
    </row>
    <row r="43" spans="1:61" ht="14.65" customHeight="1">
      <c r="Q43" s="97"/>
      <c r="R43" s="19"/>
      <c r="S43" s="722"/>
      <c r="T43" s="722"/>
      <c r="U43" s="349"/>
      <c r="V43" s="677"/>
      <c r="W43" s="675"/>
      <c r="X43" s="677"/>
      <c r="Y43" s="675"/>
      <c r="Z43" s="677"/>
      <c r="AA43" s="712"/>
      <c r="AB43" s="675"/>
      <c r="AC43" s="725"/>
      <c r="AD43" s="779"/>
      <c r="AE43" s="780"/>
      <c r="AF43" s="780"/>
      <c r="AG43" s="789"/>
      <c r="AH43" s="779"/>
      <c r="AI43" s="780"/>
      <c r="AJ43" s="780"/>
      <c r="AK43" s="789"/>
      <c r="AL43" s="779"/>
      <c r="AM43" s="780"/>
      <c r="AN43" s="780"/>
      <c r="AO43" s="789"/>
      <c r="AP43" s="779"/>
      <c r="AQ43" s="780"/>
      <c r="AR43" s="780"/>
      <c r="AS43" s="789"/>
      <c r="AT43" s="677"/>
      <c r="AU43" s="675"/>
      <c r="AV43" s="677"/>
      <c r="AW43" s="675"/>
      <c r="AX43" s="677"/>
      <c r="AY43" s="712"/>
      <c r="AZ43" s="675"/>
      <c r="BA43" s="725"/>
      <c r="BB43" s="760"/>
      <c r="BC43" s="679"/>
      <c r="BI43" s="4">
        <v>14</v>
      </c>
    </row>
    <row r="44" spans="1:61" ht="14.65" customHeight="1">
      <c r="B44" s="43" t="s">
        <v>140</v>
      </c>
      <c r="C44" s="43" t="s">
        <v>141</v>
      </c>
      <c r="D44" s="43" t="s">
        <v>142</v>
      </c>
      <c r="E44" s="43" t="s">
        <v>440</v>
      </c>
      <c r="F44" s="43" t="s">
        <v>441</v>
      </c>
      <c r="G44" s="43" t="s">
        <v>442</v>
      </c>
      <c r="H44" s="43" t="s">
        <v>443</v>
      </c>
      <c r="I44" s="43" t="s">
        <v>444</v>
      </c>
      <c r="J44" s="43" t="s">
        <v>445</v>
      </c>
      <c r="K44" s="43" t="s">
        <v>446</v>
      </c>
      <c r="L44" s="43" t="s">
        <v>421</v>
      </c>
      <c r="Q44" s="97"/>
      <c r="R44" s="19"/>
      <c r="S44" s="722"/>
      <c r="T44" s="722"/>
      <c r="U44" s="101"/>
      <c r="V44" s="24" t="s">
        <v>481</v>
      </c>
      <c r="W44" s="24" t="s">
        <v>482</v>
      </c>
      <c r="X44" s="24" t="s">
        <v>481</v>
      </c>
      <c r="Y44" s="24" t="s">
        <v>482</v>
      </c>
      <c r="Z44" s="27" t="s">
        <v>449</v>
      </c>
      <c r="AA44" s="728" t="s">
        <v>450</v>
      </c>
      <c r="AB44" s="734"/>
      <c r="AC44" s="726"/>
      <c r="AD44" s="781"/>
      <c r="AE44" s="782"/>
      <c r="AF44" s="782"/>
      <c r="AG44" s="783"/>
      <c r="AH44" s="781"/>
      <c r="AI44" s="782"/>
      <c r="AJ44" s="782"/>
      <c r="AK44" s="783"/>
      <c r="AL44" s="781"/>
      <c r="AM44" s="782"/>
      <c r="AN44" s="782"/>
      <c r="AO44" s="783"/>
      <c r="AP44" s="781"/>
      <c r="AQ44" s="782"/>
      <c r="AR44" s="782"/>
      <c r="AS44" s="783"/>
      <c r="AT44" s="24" t="s">
        <v>481</v>
      </c>
      <c r="AU44" s="24" t="s">
        <v>482</v>
      </c>
      <c r="AV44" s="24" t="s">
        <v>481</v>
      </c>
      <c r="AW44" s="24" t="s">
        <v>482</v>
      </c>
      <c r="AX44" s="27" t="s">
        <v>449</v>
      </c>
      <c r="AY44" s="728" t="s">
        <v>450</v>
      </c>
      <c r="AZ44" s="734"/>
      <c r="BA44" s="726"/>
      <c r="BB44" s="761"/>
      <c r="BC44" s="679"/>
      <c r="BI44" s="4">
        <v>14</v>
      </c>
    </row>
    <row r="45" spans="1:61" s="117" customFormat="1" ht="0" hidden="1" customHeight="1">
      <c r="A45" s="43"/>
      <c r="B45" s="43"/>
      <c r="C45" s="43"/>
      <c r="D45" s="43"/>
      <c r="E45" s="43"/>
      <c r="F45" s="43"/>
      <c r="G45" s="43"/>
      <c r="H45" s="43"/>
      <c r="I45" s="43"/>
      <c r="J45" s="43"/>
      <c r="K45" s="43"/>
      <c r="L45" s="43"/>
      <c r="M45" s="167"/>
      <c r="N45" s="167"/>
      <c r="O45" s="167"/>
      <c r="P45" s="160"/>
      <c r="Q45" s="424"/>
      <c r="R45" s="424">
        <v>1</v>
      </c>
      <c r="S45" s="425" t="s">
        <v>110</v>
      </c>
      <c r="T45" s="425" t="s">
        <v>111</v>
      </c>
      <c r="U45" s="421" t="str">
        <f ca="1">OFFSET(U45,0,-1)</f>
        <v>2</v>
      </c>
      <c r="V45" s="426">
        <f t="shared" ref="V45:AA45" ca="1" si="2">OFFSET(V45,0,-1)+1</f>
        <v>3</v>
      </c>
      <c r="W45" s="426">
        <f t="shared" ca="1" si="2"/>
        <v>4</v>
      </c>
      <c r="X45" s="426">
        <f t="shared" ca="1" si="2"/>
        <v>5</v>
      </c>
      <c r="Y45" s="426">
        <f t="shared" ca="1" si="2"/>
        <v>6</v>
      </c>
      <c r="Z45" s="426">
        <f t="shared" ca="1" si="2"/>
        <v>7</v>
      </c>
      <c r="AA45" s="754">
        <f t="shared" ca="1" si="2"/>
        <v>8</v>
      </c>
      <c r="AB45" s="754"/>
      <c r="AC45" s="426">
        <f ca="1">OFFSET(AC45,0,-2)+1</f>
        <v>9</v>
      </c>
      <c r="AD45" s="426">
        <f ca="1">OFFSET(AD45,0,-1)+1</f>
        <v>10</v>
      </c>
      <c r="AE45" s="426"/>
      <c r="AF45" s="426"/>
      <c r="AG45" s="426"/>
      <c r="AH45" s="426"/>
      <c r="AI45" s="426"/>
      <c r="AJ45" s="426"/>
      <c r="AK45" s="426"/>
      <c r="AL45" s="426"/>
      <c r="AM45" s="426"/>
      <c r="AN45" s="426"/>
      <c r="AO45" s="426"/>
      <c r="AP45" s="426"/>
      <c r="AQ45" s="426"/>
      <c r="AR45" s="426"/>
      <c r="AS45" s="426"/>
      <c r="AT45" s="426"/>
      <c r="AU45" s="426"/>
      <c r="AV45" s="426"/>
      <c r="AW45" s="426">
        <f ca="1">OFFSET(AW45,0,-1)+1</f>
        <v>1</v>
      </c>
      <c r="AX45" s="426">
        <f ca="1">OFFSET(AX45,0,-1)+1</f>
        <v>2</v>
      </c>
      <c r="AY45" s="754">
        <f ca="1">OFFSET(AY45,0,-1)+1</f>
        <v>3</v>
      </c>
      <c r="AZ45" s="754"/>
      <c r="BA45" s="426">
        <f ca="1">OFFSET(BA45,0,-2)+1</f>
        <v>4</v>
      </c>
      <c r="BB45" s="421">
        <f ca="1">OFFSET(BB45,0,-1)</f>
        <v>4</v>
      </c>
      <c r="BC45" s="426">
        <f ca="1">OFFSET(BC45,0,-1)+1</f>
        <v>5</v>
      </c>
      <c r="BD45" s="46"/>
      <c r="BE45" s="46"/>
      <c r="BF45" s="46"/>
      <c r="BG45" s="46"/>
      <c r="BH45" s="46"/>
      <c r="BI45" s="117">
        <v>0</v>
      </c>
    </row>
    <row r="46" spans="1:61" ht="21.95" customHeight="1">
      <c r="A46" s="43" t="s">
        <v>264</v>
      </c>
      <c r="E46" s="745">
        <v>1</v>
      </c>
      <c r="M46" s="43"/>
      <c r="N46" s="43"/>
      <c r="O46" s="43"/>
      <c r="Q46" s="43"/>
      <c r="R46" s="119"/>
      <c r="S46" s="24">
        <f>INDEX(PT_DIFFERENTIATION_NUM_NTAR,MATCH(A46,PT_DIFFERENTIATION_NTAR_ID,0))</f>
        <v>0</v>
      </c>
      <c r="T46" s="29" t="s">
        <v>128</v>
      </c>
      <c r="U46" s="29"/>
      <c r="V46" s="743"/>
      <c r="W46" s="743"/>
      <c r="X46" s="743"/>
      <c r="Y46" s="743"/>
      <c r="Z46" s="743"/>
      <c r="AA46" s="743"/>
      <c r="AB46" s="743"/>
      <c r="AC46" s="744"/>
      <c r="AD46" s="742" t="str">
        <f>INDEX(PT_DIFFERENTIATION_NTAR,MATCH(A46,PT_DIFFERENTIATION_NTAR_ID,0))</f>
        <v/>
      </c>
      <c r="AE46" s="743"/>
      <c r="AF46" s="743"/>
      <c r="AG46" s="743"/>
      <c r="AH46" s="743"/>
      <c r="AI46" s="743"/>
      <c r="AJ46" s="743"/>
      <c r="AK46" s="743"/>
      <c r="AL46" s="743"/>
      <c r="AM46" s="743"/>
      <c r="AN46" s="743"/>
      <c r="AO46" s="743"/>
      <c r="AP46" s="743"/>
      <c r="AQ46" s="743"/>
      <c r="AR46" s="743"/>
      <c r="AS46" s="743"/>
      <c r="AT46" s="743"/>
      <c r="AU46" s="743"/>
      <c r="AV46" s="743"/>
      <c r="AW46" s="743"/>
      <c r="AX46" s="743"/>
      <c r="AY46" s="743"/>
      <c r="AZ46" s="743"/>
      <c r="BA46" s="743"/>
      <c r="BB46" s="744"/>
      <c r="BC46" s="4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F46" s="46" t="str">
        <f t="shared" ref="BF46:BF52" si="3">IF(T46="","",T46)</f>
        <v>Наименование тарифа</v>
      </c>
      <c r="BI46" s="4">
        <v>21</v>
      </c>
    </row>
    <row r="47" spans="1:61" ht="21.95" customHeight="1">
      <c r="A47" s="43" t="s">
        <v>264</v>
      </c>
      <c r="B47" s="43" t="s">
        <v>265</v>
      </c>
      <c r="E47" s="747"/>
      <c r="F47" s="745">
        <v>1</v>
      </c>
      <c r="M47" s="43"/>
      <c r="N47" s="43"/>
      <c r="O47" s="43"/>
      <c r="P47" s="43"/>
      <c r="Q47" s="468"/>
      <c r="R47" s="119"/>
      <c r="S47" s="24" t="str">
        <f>INDEX(PT_DIFFERENTIATION_NUM_TER,MATCH(B47,PT_DIFFERENTIATION_TER_ID,0))</f>
        <v>.</v>
      </c>
      <c r="T47" s="24" t="s">
        <v>400</v>
      </c>
      <c r="U47" s="29"/>
      <c r="V47" s="743"/>
      <c r="W47" s="743"/>
      <c r="X47" s="743"/>
      <c r="Y47" s="743"/>
      <c r="Z47" s="743"/>
      <c r="AA47" s="743"/>
      <c r="AB47" s="743"/>
      <c r="AC47" s="744"/>
      <c r="AD47" s="742" t="str">
        <f>INDEX(PT_DIFFERENTIATION_TER,MATCH(B47,PT_DIFFERENTIATION_TER_ID,0))</f>
        <v/>
      </c>
      <c r="AE47" s="743"/>
      <c r="AF47" s="743"/>
      <c r="AG47" s="743"/>
      <c r="AH47" s="743"/>
      <c r="AI47" s="743"/>
      <c r="AJ47" s="743"/>
      <c r="AK47" s="743"/>
      <c r="AL47" s="743"/>
      <c r="AM47" s="743"/>
      <c r="AN47" s="743"/>
      <c r="AO47" s="743"/>
      <c r="AP47" s="743"/>
      <c r="AQ47" s="743"/>
      <c r="AR47" s="743"/>
      <c r="AS47" s="743"/>
      <c r="AT47" s="743"/>
      <c r="AU47" s="743"/>
      <c r="AV47" s="743"/>
      <c r="AW47" s="743"/>
      <c r="AX47" s="743"/>
      <c r="AY47" s="743"/>
      <c r="AZ47" s="743"/>
      <c r="BA47" s="743"/>
      <c r="BB47" s="744"/>
      <c r="BC47" s="428" t="s">
        <v>401</v>
      </c>
      <c r="BF47" s="46" t="str">
        <f t="shared" si="3"/>
        <v>Территория действия тарифа</v>
      </c>
      <c r="BI47" s="4">
        <v>21</v>
      </c>
    </row>
    <row r="48" spans="1:61" ht="35.65" customHeight="1">
      <c r="A48" s="43" t="s">
        <v>264</v>
      </c>
      <c r="B48" s="43" t="s">
        <v>265</v>
      </c>
      <c r="C48" s="43" t="s">
        <v>266</v>
      </c>
      <c r="E48" s="747"/>
      <c r="F48" s="747"/>
      <c r="G48" s="745">
        <v>1</v>
      </c>
      <c r="M48" s="43"/>
      <c r="N48" s="43"/>
      <c r="O48" s="43"/>
      <c r="P48" s="79"/>
      <c r="Q48" s="468"/>
      <c r="R48" s="119"/>
      <c r="S48" s="24" t="str">
        <f>INDEX(PT_DIFFERENTIATION_NUM_CS,MATCH(C48,PT_DIFFERENTIATION_CS_ID,0))</f>
        <v>..</v>
      </c>
      <c r="T48" s="24" t="s">
        <v>533</v>
      </c>
      <c r="U48" s="29"/>
      <c r="V48" s="743"/>
      <c r="W48" s="743"/>
      <c r="X48" s="743"/>
      <c r="Y48" s="743"/>
      <c r="Z48" s="743"/>
      <c r="AA48" s="743"/>
      <c r="AB48" s="743"/>
      <c r="AC48" s="744"/>
      <c r="AD48" s="742" t="str">
        <f>INDEX(PT_DIFFERENTIATION_CS,MATCH(C48,PT_DIFFERENTIATION_CS_ID,0))</f>
        <v/>
      </c>
      <c r="AE48" s="743"/>
      <c r="AF48" s="743"/>
      <c r="AG48" s="743"/>
      <c r="AH48" s="743"/>
      <c r="AI48" s="743"/>
      <c r="AJ48" s="743"/>
      <c r="AK48" s="743"/>
      <c r="AL48" s="743"/>
      <c r="AM48" s="743"/>
      <c r="AN48" s="743"/>
      <c r="AO48" s="743"/>
      <c r="AP48" s="743"/>
      <c r="AQ48" s="743"/>
      <c r="AR48" s="743"/>
      <c r="AS48" s="743"/>
      <c r="AT48" s="743"/>
      <c r="AU48" s="743"/>
      <c r="AV48" s="743"/>
      <c r="AW48" s="743"/>
      <c r="AX48" s="743"/>
      <c r="AY48" s="743"/>
      <c r="AZ48" s="743"/>
      <c r="BA48" s="743"/>
      <c r="BB48" s="744"/>
      <c r="BC48" s="428" t="s">
        <v>534</v>
      </c>
      <c r="BF48" s="46" t="str">
        <f t="shared" si="3"/>
        <v>Наименование централизованной системы горячего водоснабжения</v>
      </c>
      <c r="BI48" s="4">
        <v>34</v>
      </c>
    </row>
    <row r="49" spans="1:61" s="46" customFormat="1" ht="0" hidden="1" customHeight="1">
      <c r="A49" s="46" t="s">
        <v>264</v>
      </c>
      <c r="B49" s="46" t="s">
        <v>265</v>
      </c>
      <c r="C49" s="46" t="s">
        <v>266</v>
      </c>
      <c r="D49" s="46" t="s">
        <v>547</v>
      </c>
      <c r="E49" s="747"/>
      <c r="F49" s="747"/>
      <c r="G49" s="747"/>
      <c r="H49" s="745">
        <v>1</v>
      </c>
      <c r="P49" s="478"/>
      <c r="Q49" s="479"/>
      <c r="R49" s="120"/>
      <c r="S49" s="174"/>
      <c r="T49" s="294"/>
      <c r="U49" s="174"/>
      <c r="V49" s="769"/>
      <c r="W49" s="769"/>
      <c r="X49" s="769"/>
      <c r="Y49" s="769"/>
      <c r="Z49" s="769"/>
      <c r="AA49" s="769"/>
      <c r="AB49" s="769"/>
      <c r="AC49" s="770"/>
      <c r="AD49" s="768"/>
      <c r="AE49" s="769"/>
      <c r="AF49" s="769"/>
      <c r="AG49" s="769"/>
      <c r="AH49" s="769"/>
      <c r="AI49" s="769"/>
      <c r="AJ49" s="769"/>
      <c r="AK49" s="769"/>
      <c r="AL49" s="769"/>
      <c r="AM49" s="769"/>
      <c r="AN49" s="769"/>
      <c r="AO49" s="769"/>
      <c r="AP49" s="769"/>
      <c r="AQ49" s="769"/>
      <c r="AR49" s="769"/>
      <c r="AS49" s="769"/>
      <c r="AT49" s="769"/>
      <c r="AU49" s="769"/>
      <c r="AV49" s="769"/>
      <c r="AW49" s="769"/>
      <c r="AX49" s="769"/>
      <c r="AY49" s="769"/>
      <c r="AZ49" s="769"/>
      <c r="BA49" s="769"/>
      <c r="BB49" s="770"/>
      <c r="BC49" s="174" t="s">
        <v>405</v>
      </c>
      <c r="BF49" s="46" t="str">
        <f t="shared" si="3"/>
        <v/>
      </c>
      <c r="BI49" s="46">
        <v>0</v>
      </c>
    </row>
    <row r="50" spans="1:61" s="46" customFormat="1" ht="0" hidden="1" customHeight="1">
      <c r="A50" s="46" t="s">
        <v>264</v>
      </c>
      <c r="B50" s="46" t="s">
        <v>265</v>
      </c>
      <c r="C50" s="46" t="s">
        <v>266</v>
      </c>
      <c r="D50" s="46" t="s">
        <v>547</v>
      </c>
      <c r="E50" s="747"/>
      <c r="F50" s="747"/>
      <c r="G50" s="747"/>
      <c r="H50" s="747"/>
      <c r="I50" s="745" t="str">
        <f>S49&amp;".1"</f>
        <v>.1</v>
      </c>
      <c r="L50" s="46" t="s">
        <v>406</v>
      </c>
      <c r="M50" s="160"/>
      <c r="N50" s="160"/>
      <c r="O50" s="160"/>
      <c r="P50" s="748">
        <v>1</v>
      </c>
      <c r="R50" s="120"/>
      <c r="S50" s="174"/>
      <c r="T50" s="174"/>
      <c r="U50" s="174"/>
      <c r="V50" s="769"/>
      <c r="W50" s="769"/>
      <c r="X50" s="769"/>
      <c r="Y50" s="769"/>
      <c r="Z50" s="769"/>
      <c r="AA50" s="769"/>
      <c r="AB50" s="769"/>
      <c r="AC50" s="770"/>
      <c r="AD50" s="768"/>
      <c r="AE50" s="769"/>
      <c r="AF50" s="769"/>
      <c r="AG50" s="769"/>
      <c r="AH50" s="769"/>
      <c r="AI50" s="769"/>
      <c r="AJ50" s="769"/>
      <c r="AK50" s="769"/>
      <c r="AL50" s="769"/>
      <c r="AM50" s="769"/>
      <c r="AN50" s="769"/>
      <c r="AO50" s="769"/>
      <c r="AP50" s="769"/>
      <c r="AQ50" s="769"/>
      <c r="AR50" s="769"/>
      <c r="AS50" s="769"/>
      <c r="AT50" s="769"/>
      <c r="AU50" s="769"/>
      <c r="AV50" s="769"/>
      <c r="AW50" s="769"/>
      <c r="AX50" s="769"/>
      <c r="AY50" s="769"/>
      <c r="AZ50" s="769"/>
      <c r="BA50" s="769"/>
      <c r="BB50" s="770"/>
      <c r="BC50" s="174"/>
      <c r="BF50" s="46" t="str">
        <f t="shared" si="3"/>
        <v/>
      </c>
      <c r="BI50" s="46">
        <v>0</v>
      </c>
    </row>
    <row r="51" spans="1:61" s="46" customFormat="1" ht="0" hidden="1" customHeight="1">
      <c r="A51" s="46" t="s">
        <v>264</v>
      </c>
      <c r="B51" s="46" t="s">
        <v>265</v>
      </c>
      <c r="C51" s="46" t="s">
        <v>266</v>
      </c>
      <c r="D51" s="46" t="s">
        <v>547</v>
      </c>
      <c r="E51" s="747"/>
      <c r="F51" s="747"/>
      <c r="G51" s="747"/>
      <c r="H51" s="747"/>
      <c r="I51" s="747"/>
      <c r="J51" s="745" t="str">
        <f>S49&amp;".1"</f>
        <v>.1</v>
      </c>
      <c r="M51" s="160"/>
      <c r="N51" s="160"/>
      <c r="O51" s="160"/>
      <c r="P51" s="748"/>
      <c r="Q51" s="748">
        <v>1</v>
      </c>
      <c r="R51" s="120"/>
      <c r="S51" s="174"/>
      <c r="T51" s="174"/>
      <c r="U51" s="174"/>
      <c r="V51" s="769"/>
      <c r="W51" s="769"/>
      <c r="X51" s="769"/>
      <c r="Y51" s="769"/>
      <c r="Z51" s="769"/>
      <c r="AA51" s="769"/>
      <c r="AB51" s="769"/>
      <c r="AC51" s="770"/>
      <c r="AD51" s="768"/>
      <c r="AE51" s="769"/>
      <c r="AF51" s="769"/>
      <c r="AG51" s="769"/>
      <c r="AH51" s="769"/>
      <c r="AI51" s="769"/>
      <c r="AJ51" s="769"/>
      <c r="AK51" s="769"/>
      <c r="AL51" s="769"/>
      <c r="AM51" s="769"/>
      <c r="AN51" s="803"/>
      <c r="AO51" s="803"/>
      <c r="AP51" s="769"/>
      <c r="AQ51" s="769"/>
      <c r="AR51" s="769"/>
      <c r="AS51" s="769"/>
      <c r="AT51" s="769"/>
      <c r="AU51" s="769"/>
      <c r="AV51" s="769"/>
      <c r="AW51" s="769"/>
      <c r="AX51" s="769"/>
      <c r="AY51" s="769"/>
      <c r="AZ51" s="769"/>
      <c r="BA51" s="769"/>
      <c r="BB51" s="770"/>
      <c r="BC51" s="174"/>
      <c r="BF51" s="46" t="str">
        <f t="shared" si="3"/>
        <v/>
      </c>
      <c r="BI51" s="46">
        <v>0</v>
      </c>
    </row>
    <row r="52" spans="1:61" ht="11.45" customHeight="1">
      <c r="A52" s="43" t="s">
        <v>264</v>
      </c>
      <c r="B52" s="43" t="s">
        <v>265</v>
      </c>
      <c r="C52" s="43" t="s">
        <v>266</v>
      </c>
      <c r="D52" s="43" t="s">
        <v>547</v>
      </c>
      <c r="E52" s="747"/>
      <c r="F52" s="747"/>
      <c r="G52" s="747"/>
      <c r="H52" s="747"/>
      <c r="I52" s="747"/>
      <c r="J52" s="747"/>
      <c r="K52" s="745" t="str">
        <f>S48&amp;".1"</f>
        <v>...1</v>
      </c>
      <c r="P52" s="748"/>
      <c r="Q52" s="748"/>
      <c r="R52" s="120">
        <v>1</v>
      </c>
      <c r="S52" s="724" t="str">
        <f>$K52</f>
        <v>...1</v>
      </c>
      <c r="T52" s="799"/>
      <c r="U52" s="29"/>
      <c r="V52" s="168"/>
      <c r="W52" s="427"/>
      <c r="X52" s="168"/>
      <c r="Y52" s="427"/>
      <c r="Z52" s="544"/>
      <c r="AA52" s="69" t="s">
        <v>66</v>
      </c>
      <c r="AB52" s="544"/>
      <c r="AC52" s="69" t="s">
        <v>66</v>
      </c>
      <c r="AD52" s="686" t="s">
        <v>66</v>
      </c>
      <c r="AE52" s="784"/>
      <c r="AF52" s="722">
        <v>1</v>
      </c>
      <c r="AG52" s="798"/>
      <c r="AH52" s="688" t="s">
        <v>66</v>
      </c>
      <c r="AI52" s="784"/>
      <c r="AJ52" s="722">
        <v>1</v>
      </c>
      <c r="AK52" s="688" t="s">
        <v>22</v>
      </c>
      <c r="AL52" s="688" t="s">
        <v>66</v>
      </c>
      <c r="AM52" s="674"/>
      <c r="AN52" s="722">
        <v>1</v>
      </c>
      <c r="AO52" s="798"/>
      <c r="AP52" s="776" t="s">
        <v>66</v>
      </c>
      <c r="AQ52" s="29"/>
      <c r="AR52" s="148">
        <v>1</v>
      </c>
      <c r="AS52" s="74" t="s">
        <v>22</v>
      </c>
      <c r="AT52" s="168"/>
      <c r="AU52" s="427"/>
      <c r="AV52" s="168"/>
      <c r="AW52" s="427"/>
      <c r="AX52" s="544"/>
      <c r="AY52" s="69" t="s">
        <v>66</v>
      </c>
      <c r="AZ52" s="544"/>
      <c r="BA52" s="69" t="s">
        <v>66</v>
      </c>
      <c r="BB52" s="345"/>
      <c r="BC52" s="762" t="s">
        <v>504</v>
      </c>
      <c r="BF52" s="46" t="str">
        <f t="shared" si="3"/>
        <v/>
      </c>
      <c r="BI52" s="4">
        <v>11</v>
      </c>
    </row>
    <row r="53" spans="1:61" ht="11.45" customHeight="1">
      <c r="E53" s="747"/>
      <c r="F53" s="747"/>
      <c r="G53" s="747"/>
      <c r="H53" s="747"/>
      <c r="I53" s="747"/>
      <c r="J53" s="747"/>
      <c r="K53" s="745"/>
      <c r="P53" s="748"/>
      <c r="Q53" s="748"/>
      <c r="R53" s="120"/>
      <c r="S53" s="725"/>
      <c r="T53" s="800"/>
      <c r="U53" s="29"/>
      <c r="V53" s="457"/>
      <c r="W53" s="477"/>
      <c r="X53" s="457"/>
      <c r="Y53" s="477"/>
      <c r="Z53" s="457"/>
      <c r="AA53" s="457"/>
      <c r="AB53" s="457"/>
      <c r="AC53" s="457"/>
      <c r="AD53" s="689"/>
      <c r="AE53" s="784"/>
      <c r="AF53" s="722"/>
      <c r="AG53" s="798"/>
      <c r="AH53" s="688"/>
      <c r="AI53" s="784"/>
      <c r="AJ53" s="722"/>
      <c r="AK53" s="688"/>
      <c r="AL53" s="688"/>
      <c r="AM53" s="677"/>
      <c r="AN53" s="722"/>
      <c r="AO53" s="798"/>
      <c r="AP53" s="802"/>
      <c r="AQ53" s="98"/>
      <c r="AR53" s="37"/>
      <c r="AS53" s="37" t="s">
        <v>505</v>
      </c>
      <c r="AT53" s="457"/>
      <c r="AU53" s="477"/>
      <c r="AV53" s="457"/>
      <c r="AW53" s="477"/>
      <c r="AX53" s="457"/>
      <c r="AY53" s="457"/>
      <c r="AZ53" s="457"/>
      <c r="BA53" s="457"/>
      <c r="BB53" s="461"/>
      <c r="BC53" s="763"/>
      <c r="BI53" s="4">
        <v>11</v>
      </c>
    </row>
    <row r="54" spans="1:61" ht="11.45" customHeight="1">
      <c r="A54" s="43" t="s">
        <v>264</v>
      </c>
      <c r="E54" s="747"/>
      <c r="F54" s="747"/>
      <c r="G54" s="747"/>
      <c r="H54" s="747"/>
      <c r="I54" s="747"/>
      <c r="J54" s="747"/>
      <c r="K54" s="745"/>
      <c r="P54" s="748"/>
      <c r="Q54" s="748"/>
      <c r="R54" s="120"/>
      <c r="S54" s="725"/>
      <c r="T54" s="800"/>
      <c r="U54" s="29"/>
      <c r="V54" s="457"/>
      <c r="W54" s="477"/>
      <c r="X54" s="457"/>
      <c r="Y54" s="477"/>
      <c r="Z54" s="457"/>
      <c r="AA54" s="457"/>
      <c r="AB54" s="457"/>
      <c r="AC54" s="457"/>
      <c r="AD54" s="689"/>
      <c r="AE54" s="784"/>
      <c r="AF54" s="722"/>
      <c r="AG54" s="798"/>
      <c r="AH54" s="688"/>
      <c r="AI54" s="784"/>
      <c r="AJ54" s="722"/>
      <c r="AK54" s="688"/>
      <c r="AL54" s="688"/>
      <c r="AM54" s="98"/>
      <c r="AN54" s="130"/>
      <c r="AO54" s="130" t="s">
        <v>506</v>
      </c>
      <c r="AP54" s="37"/>
      <c r="AQ54" s="37"/>
      <c r="AR54" s="37"/>
      <c r="AS54" s="457"/>
      <c r="AT54" s="457"/>
      <c r="AU54" s="477"/>
      <c r="AV54" s="457"/>
      <c r="AW54" s="477"/>
      <c r="AX54" s="457"/>
      <c r="AY54" s="457"/>
      <c r="AZ54" s="457"/>
      <c r="BA54" s="457"/>
      <c r="BB54" s="461"/>
      <c r="BC54" s="763"/>
      <c r="BI54" s="4">
        <v>11</v>
      </c>
    </row>
    <row r="55" spans="1:61" ht="11.45" customHeight="1">
      <c r="A55" s="43" t="s">
        <v>264</v>
      </c>
      <c r="E55" s="747"/>
      <c r="F55" s="747"/>
      <c r="G55" s="747"/>
      <c r="H55" s="747"/>
      <c r="I55" s="747"/>
      <c r="J55" s="747"/>
      <c r="K55" s="745"/>
      <c r="P55" s="748"/>
      <c r="Q55" s="748"/>
      <c r="R55" s="120"/>
      <c r="S55" s="725"/>
      <c r="T55" s="800"/>
      <c r="U55" s="29"/>
      <c r="V55" s="457"/>
      <c r="W55" s="477"/>
      <c r="X55" s="457"/>
      <c r="Y55" s="477"/>
      <c r="Z55" s="457"/>
      <c r="AA55" s="457"/>
      <c r="AB55" s="457"/>
      <c r="AC55" s="457"/>
      <c r="AD55" s="689"/>
      <c r="AE55" s="784"/>
      <c r="AF55" s="722"/>
      <c r="AG55" s="798"/>
      <c r="AH55" s="688"/>
      <c r="AI55" s="98"/>
      <c r="AJ55" s="37"/>
      <c r="AK55" s="37" t="s">
        <v>507</v>
      </c>
      <c r="AL55" s="457"/>
      <c r="AM55" s="457"/>
      <c r="AN55" s="457"/>
      <c r="AO55" s="457"/>
      <c r="AP55" s="457"/>
      <c r="AQ55" s="457"/>
      <c r="AR55" s="457"/>
      <c r="AS55" s="457"/>
      <c r="AT55" s="457"/>
      <c r="AU55" s="477"/>
      <c r="AV55" s="457"/>
      <c r="AW55" s="477"/>
      <c r="AX55" s="457"/>
      <c r="AY55" s="457"/>
      <c r="AZ55" s="457"/>
      <c r="BA55" s="457"/>
      <c r="BB55" s="461"/>
      <c r="BC55" s="763"/>
      <c r="BI55" s="4">
        <v>11</v>
      </c>
    </row>
    <row r="56" spans="1:61" ht="11.45" customHeight="1">
      <c r="A56" s="43" t="s">
        <v>264</v>
      </c>
      <c r="B56" s="43" t="s">
        <v>265</v>
      </c>
      <c r="C56" s="43" t="s">
        <v>266</v>
      </c>
      <c r="D56" s="43" t="s">
        <v>547</v>
      </c>
      <c r="E56" s="747"/>
      <c r="F56" s="747"/>
      <c r="G56" s="747"/>
      <c r="H56" s="747"/>
      <c r="I56" s="747"/>
      <c r="J56" s="747"/>
      <c r="K56" s="745"/>
      <c r="P56" s="748"/>
      <c r="Q56" s="748"/>
      <c r="R56" s="120"/>
      <c r="S56" s="726"/>
      <c r="T56" s="801"/>
      <c r="U56" s="29"/>
      <c r="V56" s="457"/>
      <c r="W56" s="458" t="str">
        <f>Z52&amp;"-"&amp;AB52</f>
        <v>-</v>
      </c>
      <c r="X56" s="457"/>
      <c r="Y56" s="458" t="str">
        <f>AB52&amp;"-"&amp;AD52</f>
        <v>-да</v>
      </c>
      <c r="Z56" s="457"/>
      <c r="AA56" s="457"/>
      <c r="AB56" s="457"/>
      <c r="AC56" s="457"/>
      <c r="AD56" s="687"/>
      <c r="AE56" s="98"/>
      <c r="AF56" s="37"/>
      <c r="AG56" s="37" t="s">
        <v>508</v>
      </c>
      <c r="AH56" s="457"/>
      <c r="AI56" s="457"/>
      <c r="AJ56" s="457"/>
      <c r="AK56" s="457"/>
      <c r="AL56" s="457"/>
      <c r="AM56" s="457"/>
      <c r="AN56" s="457"/>
      <c r="AO56" s="457"/>
      <c r="AP56" s="457"/>
      <c r="AQ56" s="457"/>
      <c r="AR56" s="457"/>
      <c r="AS56" s="457"/>
      <c r="AT56" s="457"/>
      <c r="AU56" s="458" t="str">
        <f>AX52&amp;"-"&amp;AZ52</f>
        <v>-</v>
      </c>
      <c r="AV56" s="457"/>
      <c r="AW56" s="458" t="str">
        <f>AZ52&amp;"-"&amp;BB52</f>
        <v>-</v>
      </c>
      <c r="AX56" s="457"/>
      <c r="AY56" s="457"/>
      <c r="AZ56" s="457"/>
      <c r="BA56" s="457"/>
      <c r="BB56" s="460" t="str">
        <f>BE52&amp;"-"&amp;BG52</f>
        <v>-</v>
      </c>
      <c r="BC56" s="763"/>
      <c r="BF56" s="46" t="str">
        <f t="shared" ref="BF56:BF63" si="4">IF(T56="","",T56)</f>
        <v/>
      </c>
      <c r="BI56" s="4">
        <v>11</v>
      </c>
    </row>
    <row r="57" spans="1:61" ht="11.45" customHeight="1">
      <c r="A57" s="43" t="s">
        <v>264</v>
      </c>
      <c r="B57" s="43" t="s">
        <v>265</v>
      </c>
      <c r="C57" s="43" t="s">
        <v>266</v>
      </c>
      <c r="D57" s="43" t="s">
        <v>547</v>
      </c>
      <c r="E57" s="747"/>
      <c r="F57" s="747"/>
      <c r="G57" s="747"/>
      <c r="H57" s="747"/>
      <c r="I57" s="747"/>
      <c r="J57" s="745"/>
      <c r="P57" s="748"/>
      <c r="Q57" s="748"/>
      <c r="R57" s="120"/>
      <c r="S57" s="434"/>
      <c r="T57" s="37" t="s">
        <v>471</v>
      </c>
      <c r="U57" s="58"/>
      <c r="V57" s="58"/>
      <c r="W57" s="58"/>
      <c r="X57" s="58"/>
      <c r="Y57" s="58"/>
      <c r="Z57" s="58"/>
      <c r="AA57" s="58"/>
      <c r="AB57" s="58"/>
      <c r="AC57" s="59"/>
      <c r="AD57" s="184"/>
      <c r="AE57" s="58"/>
      <c r="AF57" s="58"/>
      <c r="AG57" s="58"/>
      <c r="AH57" s="58"/>
      <c r="AI57" s="58"/>
      <c r="AJ57" s="58"/>
      <c r="AK57" s="58"/>
      <c r="AL57" s="58"/>
      <c r="AM57" s="58"/>
      <c r="AN57" s="58"/>
      <c r="AO57" s="58"/>
      <c r="AP57" s="58"/>
      <c r="AQ57" s="58"/>
      <c r="AR57" s="58"/>
      <c r="AS57" s="58"/>
      <c r="AT57" s="58"/>
      <c r="AU57" s="58"/>
      <c r="AV57" s="58"/>
      <c r="AW57" s="58"/>
      <c r="AX57" s="58"/>
      <c r="AY57" s="58"/>
      <c r="AZ57" s="58"/>
      <c r="BA57" s="58"/>
      <c r="BB57" s="59"/>
      <c r="BC57" s="764"/>
      <c r="BF57" s="46" t="str">
        <f t="shared" si="4"/>
        <v>Добавить строку</v>
      </c>
      <c r="BI57" s="4">
        <v>11</v>
      </c>
    </row>
    <row r="58" spans="1:61" s="46" customFormat="1" ht="0" hidden="1" customHeight="1">
      <c r="A58" s="46" t="s">
        <v>264</v>
      </c>
      <c r="B58" s="46" t="s">
        <v>265</v>
      </c>
      <c r="C58" s="46" t="s">
        <v>266</v>
      </c>
      <c r="D58" s="46" t="s">
        <v>547</v>
      </c>
      <c r="E58" s="747"/>
      <c r="F58" s="747"/>
      <c r="G58" s="747"/>
      <c r="H58" s="747"/>
      <c r="I58" s="745"/>
      <c r="M58" s="160"/>
      <c r="N58" s="160"/>
      <c r="O58" s="160"/>
      <c r="P58" s="748"/>
      <c r="R58" s="120"/>
      <c r="S58" s="455"/>
      <c r="T58" s="354"/>
      <c r="U58" s="354"/>
      <c r="V58" s="354"/>
      <c r="W58" s="354"/>
      <c r="X58" s="354"/>
      <c r="Y58" s="354"/>
      <c r="Z58" s="354"/>
      <c r="AA58" s="354"/>
      <c r="AB58" s="354"/>
      <c r="AC58" s="354"/>
      <c r="AD58" s="354"/>
      <c r="AE58" s="354"/>
      <c r="AF58" s="354"/>
      <c r="AG58" s="354"/>
      <c r="AH58" s="354"/>
      <c r="AI58" s="354"/>
      <c r="AJ58" s="354"/>
      <c r="AK58" s="354"/>
      <c r="AL58" s="354"/>
      <c r="AM58" s="354"/>
      <c r="AN58" s="354"/>
      <c r="AO58" s="354"/>
      <c r="AP58" s="354"/>
      <c r="AQ58" s="354"/>
      <c r="AR58" s="354"/>
      <c r="AS58" s="354"/>
      <c r="AT58" s="354"/>
      <c r="AU58" s="354"/>
      <c r="AV58" s="354"/>
      <c r="AW58" s="354"/>
      <c r="AX58" s="354"/>
      <c r="AY58" s="354"/>
      <c r="AZ58" s="354"/>
      <c r="BA58" s="354"/>
      <c r="BB58" s="354"/>
      <c r="BC58" s="314"/>
      <c r="BF58" s="46" t="str">
        <f t="shared" si="4"/>
        <v/>
      </c>
      <c r="BI58" s="46">
        <v>0</v>
      </c>
    </row>
    <row r="59" spans="1:61" s="46" customFormat="1" ht="0" hidden="1" customHeight="1">
      <c r="A59" s="46" t="s">
        <v>264</v>
      </c>
      <c r="B59" s="46" t="s">
        <v>265</v>
      </c>
      <c r="C59" s="46" t="s">
        <v>266</v>
      </c>
      <c r="D59" s="46" t="s">
        <v>547</v>
      </c>
      <c r="E59" s="747"/>
      <c r="F59" s="747"/>
      <c r="G59" s="747"/>
      <c r="H59" s="745"/>
      <c r="Q59" s="446"/>
      <c r="R59" s="120"/>
      <c r="S59" s="455"/>
      <c r="T59" s="354"/>
      <c r="U59" s="354"/>
      <c r="V59" s="354"/>
      <c r="W59" s="354"/>
      <c r="X59" s="354"/>
      <c r="Y59" s="354"/>
      <c r="Z59" s="354"/>
      <c r="AA59" s="354"/>
      <c r="AB59" s="354"/>
      <c r="AC59" s="354"/>
      <c r="AD59" s="354"/>
      <c r="AE59" s="354"/>
      <c r="AF59" s="354"/>
      <c r="AG59" s="354"/>
      <c r="AH59" s="354"/>
      <c r="AI59" s="354"/>
      <c r="AJ59" s="354"/>
      <c r="AK59" s="354"/>
      <c r="AL59" s="354"/>
      <c r="AM59" s="354"/>
      <c r="AN59" s="354"/>
      <c r="AO59" s="354"/>
      <c r="AP59" s="354"/>
      <c r="AQ59" s="354"/>
      <c r="AR59" s="354"/>
      <c r="AS59" s="354"/>
      <c r="AT59" s="354"/>
      <c r="AU59" s="354"/>
      <c r="AV59" s="354"/>
      <c r="AW59" s="354"/>
      <c r="AX59" s="354"/>
      <c r="AY59" s="354"/>
      <c r="AZ59" s="354"/>
      <c r="BA59" s="354"/>
      <c r="BB59" s="354"/>
      <c r="BC59" s="314"/>
      <c r="BF59" s="46" t="str">
        <f t="shared" si="4"/>
        <v/>
      </c>
      <c r="BI59" s="46">
        <v>0</v>
      </c>
    </row>
    <row r="60" spans="1:61" s="46" customFormat="1" ht="0" hidden="1" customHeight="1">
      <c r="A60" s="46" t="s">
        <v>264</v>
      </c>
      <c r="B60" s="46" t="s">
        <v>265</v>
      </c>
      <c r="C60" s="46" t="s">
        <v>266</v>
      </c>
      <c r="E60" s="747"/>
      <c r="F60" s="747"/>
      <c r="G60" s="745"/>
      <c r="Q60" s="446"/>
      <c r="S60" s="449"/>
      <c r="T60" s="160"/>
      <c r="U60" s="160"/>
      <c r="V60" s="160"/>
      <c r="W60" s="160"/>
      <c r="X60" s="160"/>
      <c r="Y60" s="160"/>
      <c r="Z60" s="160"/>
      <c r="AA60" s="160"/>
      <c r="AB60" s="160"/>
      <c r="AC60" s="160"/>
      <c r="AD60" s="160"/>
      <c r="AE60" s="160"/>
      <c r="AF60" s="160"/>
      <c r="AG60" s="160"/>
      <c r="AH60" s="160"/>
      <c r="AI60" s="160"/>
      <c r="AJ60" s="160"/>
      <c r="AK60" s="160"/>
      <c r="AL60" s="160"/>
      <c r="AM60" s="160"/>
      <c r="AN60" s="160"/>
      <c r="AO60" s="160"/>
      <c r="AP60" s="160"/>
      <c r="AQ60" s="160"/>
      <c r="AR60" s="160"/>
      <c r="AS60" s="160"/>
      <c r="AT60" s="160"/>
      <c r="AU60" s="160"/>
      <c r="AV60" s="160"/>
      <c r="AW60" s="160"/>
      <c r="AX60" s="160"/>
      <c r="AY60" s="160"/>
      <c r="AZ60" s="160"/>
      <c r="BA60" s="160"/>
      <c r="BB60" s="160"/>
      <c r="BC60" s="160"/>
      <c r="BF60" s="46" t="str">
        <f t="shared" si="4"/>
        <v/>
      </c>
      <c r="BI60" s="46">
        <v>0</v>
      </c>
    </row>
    <row r="61" spans="1:61" s="46" customFormat="1" ht="0" hidden="1" customHeight="1">
      <c r="A61" s="46" t="s">
        <v>264</v>
      </c>
      <c r="B61" s="46" t="s">
        <v>265</v>
      </c>
      <c r="E61" s="747"/>
      <c r="F61" s="745"/>
      <c r="M61" s="160"/>
      <c r="N61" s="160"/>
      <c r="Q61" s="446"/>
      <c r="S61" s="449"/>
      <c r="T61" s="160" t="s">
        <v>418</v>
      </c>
      <c r="U61" s="160"/>
      <c r="V61" s="160"/>
      <c r="W61" s="160"/>
      <c r="X61" s="160"/>
      <c r="Y61" s="160"/>
      <c r="Z61" s="160"/>
      <c r="AA61" s="160"/>
      <c r="AB61" s="160"/>
      <c r="AC61" s="160"/>
      <c r="AD61" s="160"/>
      <c r="AE61" s="160"/>
      <c r="AF61" s="160"/>
      <c r="AG61" s="160"/>
      <c r="AH61" s="160"/>
      <c r="AI61" s="160"/>
      <c r="AJ61" s="160"/>
      <c r="AK61" s="160"/>
      <c r="AL61" s="160"/>
      <c r="AM61" s="160"/>
      <c r="AN61" s="160"/>
      <c r="AO61" s="160"/>
      <c r="AP61" s="160"/>
      <c r="AQ61" s="160"/>
      <c r="AR61" s="160"/>
      <c r="AS61" s="160"/>
      <c r="AT61" s="160"/>
      <c r="AU61" s="160"/>
      <c r="AV61" s="160"/>
      <c r="AW61" s="160"/>
      <c r="AX61" s="160"/>
      <c r="AY61" s="160"/>
      <c r="AZ61" s="160"/>
      <c r="BA61" s="160"/>
      <c r="BB61" s="160"/>
      <c r="BC61" s="160"/>
      <c r="BF61" s="46" t="str">
        <f t="shared" si="4"/>
        <v>Добавить централизованную систему для дифференциации</v>
      </c>
      <c r="BI61" s="46">
        <v>0</v>
      </c>
    </row>
    <row r="62" spans="1:61" s="46" customFormat="1" ht="0" hidden="1" customHeight="1">
      <c r="A62" s="46" t="s">
        <v>264</v>
      </c>
      <c r="E62" s="745"/>
      <c r="M62" s="160"/>
      <c r="N62" s="160"/>
      <c r="Q62" s="446"/>
      <c r="S62" s="449"/>
      <c r="T62" s="160" t="s">
        <v>419</v>
      </c>
      <c r="U62" s="160"/>
      <c r="V62" s="160"/>
      <c r="W62" s="160"/>
      <c r="X62" s="160"/>
      <c r="Y62" s="160"/>
      <c r="Z62" s="160"/>
      <c r="AA62" s="160"/>
      <c r="AB62" s="160"/>
      <c r="AC62" s="160"/>
      <c r="AD62" s="160"/>
      <c r="AE62" s="160"/>
      <c r="AF62" s="160"/>
      <c r="AG62" s="160"/>
      <c r="AH62" s="160"/>
      <c r="AI62" s="160"/>
      <c r="AJ62" s="160"/>
      <c r="AK62" s="160"/>
      <c r="AL62" s="160"/>
      <c r="AM62" s="160"/>
      <c r="AN62" s="160"/>
      <c r="AO62" s="160"/>
      <c r="AP62" s="160"/>
      <c r="AQ62" s="160"/>
      <c r="AR62" s="160"/>
      <c r="AS62" s="160"/>
      <c r="AT62" s="160"/>
      <c r="AU62" s="160"/>
      <c r="AV62" s="160"/>
      <c r="AW62" s="160"/>
      <c r="AX62" s="160"/>
      <c r="AY62" s="160"/>
      <c r="AZ62" s="160"/>
      <c r="BA62" s="160"/>
      <c r="BB62" s="160"/>
      <c r="BC62" s="160"/>
      <c r="BF62" s="46" t="str">
        <f t="shared" si="4"/>
        <v>Добавить территорию для дифференциации</v>
      </c>
      <c r="BI62" s="46">
        <v>0</v>
      </c>
    </row>
    <row r="63" spans="1:61" s="46" customFormat="1" ht="0" hidden="1" customHeight="1">
      <c r="M63" s="160"/>
      <c r="N63" s="160"/>
      <c r="Q63" s="446"/>
      <c r="S63" s="449"/>
      <c r="T63" s="160" t="s">
        <v>451</v>
      </c>
      <c r="U63" s="160"/>
      <c r="V63" s="160"/>
      <c r="W63" s="160"/>
      <c r="X63" s="160"/>
      <c r="Y63" s="160"/>
      <c r="Z63" s="160"/>
      <c r="AA63" s="160"/>
      <c r="AB63" s="160"/>
      <c r="AC63" s="160"/>
      <c r="AD63" s="160"/>
      <c r="AE63" s="160"/>
      <c r="AF63" s="160"/>
      <c r="AG63" s="160"/>
      <c r="AH63" s="160"/>
      <c r="AI63" s="160"/>
      <c r="AJ63" s="160"/>
      <c r="AK63" s="160"/>
      <c r="AL63" s="160"/>
      <c r="AM63" s="160"/>
      <c r="AN63" s="160"/>
      <c r="AO63" s="160"/>
      <c r="AP63" s="160"/>
      <c r="AQ63" s="160"/>
      <c r="AR63" s="160"/>
      <c r="AS63" s="160"/>
      <c r="AT63" s="160"/>
      <c r="AU63" s="160"/>
      <c r="AV63" s="160"/>
      <c r="AW63" s="160"/>
      <c r="AX63" s="160"/>
      <c r="AY63" s="160"/>
      <c r="AZ63" s="160"/>
      <c r="BA63" s="160"/>
      <c r="BB63" s="160"/>
      <c r="BC63" s="160"/>
      <c r="BF63" s="46" t="str">
        <f t="shared" si="4"/>
        <v>Добавить наименование тарифа</v>
      </c>
      <c r="BI63" s="46">
        <v>0</v>
      </c>
    </row>
    <row r="64" spans="1:61" ht="11.45" customHeight="1">
      <c r="M64" s="43"/>
      <c r="N64" s="43"/>
      <c r="O64" s="43"/>
      <c r="P64" s="43"/>
      <c r="Q64" s="43"/>
      <c r="R64" s="4"/>
      <c r="BD64" s="4"/>
      <c r="BE64" s="4"/>
      <c r="BF64" s="4"/>
      <c r="BG64" s="4"/>
      <c r="BH64" s="4"/>
      <c r="BI64" s="4">
        <v>11</v>
      </c>
    </row>
    <row r="65" spans="1:61" ht="19.899999999999999" customHeight="1">
      <c r="O65" s="43"/>
      <c r="T65" s="665"/>
      <c r="U65" s="665"/>
      <c r="V65" s="665"/>
      <c r="W65" s="665"/>
      <c r="X65" s="665"/>
      <c r="Y65" s="665"/>
      <c r="Z65" s="665"/>
      <c r="AA65" s="665"/>
      <c r="AB65" s="665"/>
      <c r="AC65" s="665"/>
      <c r="AD65" s="665"/>
      <c r="AE65" s="665"/>
      <c r="AF65" s="665"/>
      <c r="AG65" s="665"/>
      <c r="AH65" s="665"/>
      <c r="AI65" s="665"/>
      <c r="AJ65" s="665"/>
      <c r="AK65" s="665"/>
      <c r="AL65" s="665"/>
      <c r="AM65" s="665"/>
      <c r="AN65" s="665"/>
      <c r="AO65" s="665"/>
      <c r="AP65" s="665"/>
      <c r="AQ65" s="665"/>
      <c r="AR65" s="665"/>
      <c r="AS65" s="665"/>
      <c r="AT65" s="665"/>
      <c r="AU65" s="665"/>
      <c r="AV65" s="665"/>
      <c r="AW65" s="665"/>
      <c r="AX65" s="665"/>
      <c r="AY65" s="665"/>
      <c r="AZ65" s="665"/>
      <c r="BA65" s="665"/>
      <c r="BB65" s="665"/>
      <c r="BC65" s="665"/>
      <c r="BI65" s="4">
        <v>19</v>
      </c>
    </row>
    <row r="66" spans="1:61" ht="14.65" customHeight="1">
      <c r="O66" s="43"/>
      <c r="BI66" s="4">
        <v>14</v>
      </c>
    </row>
    <row r="67" spans="1:61" ht="19.899999999999999" customHeight="1">
      <c r="O67" s="43"/>
      <c r="T67" s="665"/>
      <c r="U67" s="665"/>
      <c r="V67" s="665"/>
      <c r="W67" s="665"/>
      <c r="X67" s="665"/>
      <c r="Y67" s="665"/>
      <c r="Z67" s="665"/>
      <c r="AA67" s="665"/>
      <c r="AB67" s="665"/>
      <c r="AC67" s="665"/>
      <c r="AD67" s="665"/>
      <c r="AE67" s="665"/>
      <c r="AF67" s="665"/>
      <c r="AG67" s="665"/>
      <c r="AH67" s="665"/>
      <c r="AI67" s="665"/>
      <c r="AJ67" s="665"/>
      <c r="AK67" s="665"/>
      <c r="AL67" s="665"/>
      <c r="AM67" s="665"/>
      <c r="AN67" s="665"/>
      <c r="AO67" s="665"/>
      <c r="AP67" s="665"/>
      <c r="AQ67" s="665"/>
      <c r="AR67" s="665"/>
      <c r="AS67" s="665"/>
      <c r="AT67" s="665"/>
      <c r="AU67" s="665"/>
      <c r="AV67" s="665"/>
      <c r="AW67" s="665"/>
      <c r="AX67" s="665"/>
      <c r="AY67" s="665"/>
      <c r="AZ67" s="665"/>
      <c r="BA67" s="665"/>
      <c r="BB67" s="665"/>
      <c r="BC67" s="665"/>
      <c r="BI67" s="4">
        <v>19</v>
      </c>
    </row>
    <row r="68" spans="1:61" ht="14.65" customHeight="1">
      <c r="O68" s="43"/>
      <c r="BI68" s="4">
        <v>14</v>
      </c>
    </row>
    <row r="69" spans="1:61" ht="14.25" hidden="1" customHeight="1">
      <c r="A69" s="43" t="s">
        <v>82</v>
      </c>
      <c r="B69" s="43">
        <v>0</v>
      </c>
      <c r="C69" s="43">
        <v>0</v>
      </c>
      <c r="D69" s="43">
        <v>0</v>
      </c>
      <c r="E69" s="43">
        <v>0</v>
      </c>
      <c r="F69" s="43">
        <v>0</v>
      </c>
      <c r="G69" s="43">
        <v>0</v>
      </c>
      <c r="H69" s="43">
        <v>0</v>
      </c>
      <c r="I69" s="43">
        <v>0</v>
      </c>
      <c r="J69" s="43">
        <v>0</v>
      </c>
      <c r="K69" s="43">
        <v>0</v>
      </c>
      <c r="L69" s="43">
        <v>0</v>
      </c>
      <c r="M69" s="167">
        <v>0</v>
      </c>
      <c r="N69" s="167">
        <v>0</v>
      </c>
      <c r="O69" s="167">
        <v>0</v>
      </c>
      <c r="P69" s="167">
        <v>0</v>
      </c>
      <c r="Q69" s="452">
        <v>0</v>
      </c>
      <c r="R69" s="20">
        <v>3</v>
      </c>
      <c r="S69" s="4">
        <v>12</v>
      </c>
      <c r="T69" s="4">
        <v>31</v>
      </c>
      <c r="U69" s="4">
        <v>0</v>
      </c>
      <c r="V69" s="4">
        <v>0</v>
      </c>
      <c r="W69" s="4">
        <v>0</v>
      </c>
      <c r="X69" s="4">
        <v>0</v>
      </c>
      <c r="Y69" s="4">
        <v>0</v>
      </c>
      <c r="Z69" s="4">
        <v>0</v>
      </c>
      <c r="AA69" s="4">
        <v>0</v>
      </c>
      <c r="AB69" s="4">
        <v>0</v>
      </c>
      <c r="AC69" s="4">
        <v>0</v>
      </c>
      <c r="AD69" s="4">
        <v>3</v>
      </c>
      <c r="AE69" s="4">
        <v>3</v>
      </c>
      <c r="AF69" s="4">
        <v>3</v>
      </c>
      <c r="AG69" s="4">
        <v>24</v>
      </c>
      <c r="AH69" s="4">
        <v>3</v>
      </c>
      <c r="AI69" s="4">
        <v>3</v>
      </c>
      <c r="AJ69" s="4">
        <v>3</v>
      </c>
      <c r="AK69" s="4">
        <v>24</v>
      </c>
      <c r="AL69" s="4">
        <v>3</v>
      </c>
      <c r="AM69" s="4">
        <v>3</v>
      </c>
      <c r="AN69" s="4">
        <v>3</v>
      </c>
      <c r="AO69" s="4">
        <v>18</v>
      </c>
      <c r="AP69" s="4">
        <v>3</v>
      </c>
      <c r="AQ69" s="4">
        <v>3</v>
      </c>
      <c r="AR69" s="4">
        <v>3</v>
      </c>
      <c r="AS69" s="4">
        <v>18</v>
      </c>
      <c r="AT69" s="4">
        <v>21</v>
      </c>
      <c r="AU69" s="4">
        <v>21</v>
      </c>
      <c r="AV69" s="4">
        <v>21</v>
      </c>
      <c r="AW69" s="4">
        <v>21</v>
      </c>
      <c r="AX69" s="4">
        <v>11</v>
      </c>
      <c r="AY69" s="4">
        <v>3</v>
      </c>
      <c r="AZ69" s="4">
        <v>11</v>
      </c>
      <c r="BA69" s="4">
        <v>0</v>
      </c>
      <c r="BB69" s="4">
        <v>4</v>
      </c>
      <c r="BC69" s="4">
        <v>115</v>
      </c>
      <c r="BD69" s="46">
        <v>10</v>
      </c>
      <c r="BE69" s="46">
        <v>10</v>
      </c>
      <c r="BF69" s="46">
        <v>10</v>
      </c>
      <c r="BG69" s="46">
        <v>10</v>
      </c>
      <c r="BH69" s="46">
        <v>10</v>
      </c>
      <c r="BI69" s="4">
        <v>23</v>
      </c>
    </row>
  </sheetData>
  <sheetProtection formatColumns="0" formatRows="0" insertRows="0" deleteColumns="0" deleteRows="0" sort="0" autoFilter="0"/>
  <mergeCells count="122">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 ref="BC8:BC13"/>
    <mergeCell ref="AF8:AF11"/>
    <mergeCell ref="AG8:AG11"/>
    <mergeCell ref="AH8:AH11"/>
    <mergeCell ref="AI8:AI10"/>
    <mergeCell ref="AJ8:AJ10"/>
    <mergeCell ref="AK8:AK10"/>
    <mergeCell ref="K8:K12"/>
    <mergeCell ref="R8:R12"/>
    <mergeCell ref="S8:S12"/>
    <mergeCell ref="T8:T12"/>
    <mergeCell ref="AD8:AD12"/>
    <mergeCell ref="AE8:AE11"/>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xr:uid="{00000000-0002-0000-1F00-000000000000}"/>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xr:uid="{00000000-0002-0000-1F00-000001000000}">
      <formula1>kind_of_cons</formula1>
    </dataValidation>
    <dataValidation type="decimal" allowBlank="1" showErrorMessage="1" errorTitle="Ошибка" error="Допускается ввод только действительных чисел!" sqref="AO52:AO53 AG8:AG11 AO8:AO9 AG52:AG55" xr:uid="{00000000-0002-0000-1F00-000002000000}">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xr:uid="{00000000-0002-0000-1F00-000003000000}"/>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xr:uid="{00000000-0002-0000-1F00-000004000000}">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xr:uid="{00000000-0002-0000-1F00-00000500000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xr:uid="{00000000-0002-0000-1F00-000006000000}"/>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xr:uid="{00000000-0002-0000-1F00-000007000000}">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xr:uid="{00000000-0002-0000-1F00-000008000000}">
      <formula1>kind_of_heat_transfer</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27677A-13FB-1C37-44FC-42F517B0E29D}">
  <sheetPr>
    <tabColor theme="9" tint="-0.249977111117893"/>
  </sheetPr>
  <dimension ref="A1:AG303"/>
  <sheetViews>
    <sheetView showGridLines="0" zoomScale="90" workbookViewId="0">
      <pane xSplit="8" ySplit="29" topLeftCell="J30" activePane="bottomRight" state="frozen"/>
      <selection pane="topRight" activeCell="I1" sqref="I1"/>
      <selection pane="bottomLeft" activeCell="A30" sqref="A30"/>
      <selection pane="bottomRight" activeCell="J24" sqref="J24"/>
    </sheetView>
  </sheetViews>
  <sheetFormatPr defaultColWidth="9.140625" defaultRowHeight="11.25" customHeight="1"/>
  <cols>
    <col min="1" max="1" width="10.7109375" style="330" hidden="1" customWidth="1"/>
    <col min="2" max="2" width="16.85546875" style="43" hidden="1" customWidth="1"/>
    <col min="3" max="3" width="5.5703125" style="46" hidden="1" customWidth="1"/>
    <col min="4" max="4" width="3" style="4" customWidth="1"/>
    <col min="5" max="5" width="7" style="4" customWidth="1"/>
    <col min="6" max="6" width="54" style="4" customWidth="1"/>
    <col min="7" max="7" width="10" style="4" customWidth="1"/>
    <col min="8" max="8" width="40.7109375" style="4" hidden="1" customWidth="1"/>
    <col min="9" max="10" width="40.7109375" style="4" customWidth="1"/>
    <col min="11" max="11" width="102" style="4" customWidth="1"/>
    <col min="12" max="12" width="9" style="43" customWidth="1"/>
    <col min="13" max="13" width="5" style="46" customWidth="1"/>
    <col min="14" max="14" width="3" style="46" customWidth="1"/>
    <col min="15" max="18" width="3" style="43" customWidth="1"/>
    <col min="19" max="19" width="10" style="46" customWidth="1"/>
    <col min="20" max="20" width="34" style="43" customWidth="1"/>
    <col min="21" max="21" width="9" style="43" customWidth="1"/>
    <col min="22" max="22" width="8" style="77" customWidth="1"/>
    <col min="23" max="27" width="8" style="43" customWidth="1"/>
    <col min="28" max="32" width="8" style="7" customWidth="1"/>
    <col min="33" max="33" width="9.140625" style="4" hidden="1"/>
  </cols>
  <sheetData>
    <row r="1" spans="1:33" ht="22.5" hidden="1" customHeight="1">
      <c r="AG1" s="4" t="s">
        <v>14</v>
      </c>
    </row>
    <row r="2" spans="1:33" ht="23.25" hidden="1" customHeight="1">
      <c r="B2" s="665"/>
      <c r="C2" s="160" t="s">
        <v>548</v>
      </c>
      <c r="D2" s="23"/>
      <c r="E2" s="172">
        <f>B2</f>
        <v>0</v>
      </c>
      <c r="F2" s="116"/>
      <c r="G2" s="29" t="s">
        <v>549</v>
      </c>
      <c r="H2" s="29" t="s">
        <v>549</v>
      </c>
      <c r="I2" s="29" t="s">
        <v>549</v>
      </c>
      <c r="J2" s="29" t="s">
        <v>549</v>
      </c>
      <c r="K2" s="29" t="s">
        <v>550</v>
      </c>
      <c r="L2" s="170"/>
      <c r="AG2" s="4">
        <v>0</v>
      </c>
    </row>
    <row r="3" spans="1:33" s="46" customFormat="1" ht="0.75" hidden="1" customHeight="1">
      <c r="B3" s="665"/>
      <c r="C3" s="160"/>
      <c r="D3" s="160"/>
      <c r="E3" s="173"/>
      <c r="F3" s="174" t="s">
        <v>551</v>
      </c>
      <c r="G3" s="174"/>
      <c r="H3" s="174">
        <f>H4*H5+H7</f>
        <v>0</v>
      </c>
      <c r="I3" s="174">
        <f>I4*I5+I6</f>
        <v>0</v>
      </c>
      <c r="J3" s="174">
        <f>J4*J5+J7</f>
        <v>0</v>
      </c>
      <c r="K3" s="174"/>
      <c r="AG3" s="46">
        <v>0</v>
      </c>
    </row>
    <row r="4" spans="1:33" ht="23.25" hidden="1" customHeight="1">
      <c r="B4" s="665"/>
      <c r="C4" s="160"/>
      <c r="D4" s="23"/>
      <c r="E4" s="172" t="str">
        <f>B2&amp;".1"</f>
        <v>.1</v>
      </c>
      <c r="F4" s="29" t="s">
        <v>552</v>
      </c>
      <c r="G4" s="74"/>
      <c r="H4" s="168"/>
      <c r="I4" s="168"/>
      <c r="J4" s="168"/>
      <c r="K4" s="29" t="s">
        <v>553</v>
      </c>
      <c r="L4" s="170"/>
      <c r="AG4" s="4">
        <v>0</v>
      </c>
    </row>
    <row r="5" spans="1:33" ht="18.75" hidden="1" customHeight="1">
      <c r="B5" s="665"/>
      <c r="C5" s="160"/>
      <c r="D5" s="23"/>
      <c r="E5" s="172" t="str">
        <f>B2&amp;".2"</f>
        <v>.2</v>
      </c>
      <c r="F5" s="29" t="s">
        <v>554</v>
      </c>
      <c r="G5" s="29" t="s">
        <v>555</v>
      </c>
      <c r="H5" s="168"/>
      <c r="I5" s="168"/>
      <c r="J5" s="168"/>
      <c r="K5" s="29"/>
      <c r="L5" s="170"/>
      <c r="AG5" s="4">
        <v>0</v>
      </c>
    </row>
    <row r="6" spans="1:33" ht="18.75" hidden="1" customHeight="1">
      <c r="B6" s="665"/>
      <c r="C6" s="160"/>
      <c r="D6" s="23"/>
      <c r="E6" s="172" t="str">
        <f>B2&amp;".3"</f>
        <v>.3</v>
      </c>
      <c r="F6" s="29" t="s">
        <v>556</v>
      </c>
      <c r="G6" s="29" t="s">
        <v>555</v>
      </c>
      <c r="H6" s="168"/>
      <c r="I6" s="168"/>
      <c r="J6" s="168"/>
      <c r="K6" s="29"/>
      <c r="L6" s="170"/>
      <c r="AG6" s="4">
        <v>0</v>
      </c>
    </row>
    <row r="7" spans="1:33" ht="18.75" hidden="1" customHeight="1">
      <c r="B7" s="665"/>
      <c r="C7" s="160"/>
      <c r="D7" s="23"/>
      <c r="E7" s="172" t="str">
        <f>B2&amp;".4"</f>
        <v>.4</v>
      </c>
      <c r="F7" s="29" t="s">
        <v>557</v>
      </c>
      <c r="G7" s="29" t="s">
        <v>549</v>
      </c>
      <c r="H7" s="175"/>
      <c r="I7" s="175"/>
      <c r="J7" s="175"/>
      <c r="K7" s="29"/>
      <c r="L7" s="170"/>
      <c r="AG7" s="4">
        <v>0</v>
      </c>
    </row>
    <row r="8" spans="1:33" s="43" customFormat="1" ht="11.25" hidden="1" customHeight="1">
      <c r="A8" s="330"/>
      <c r="C8" s="46"/>
      <c r="H8" s="43">
        <v>4</v>
      </c>
      <c r="I8" s="43">
        <v>4</v>
      </c>
      <c r="J8" s="43">
        <v>4</v>
      </c>
      <c r="M8" s="46"/>
      <c r="N8" s="46"/>
      <c r="S8" s="46"/>
      <c r="AG8" s="43">
        <v>0</v>
      </c>
    </row>
    <row r="9" spans="1:33" s="43" customFormat="1" ht="22.5" hidden="1" customHeight="1">
      <c r="A9" s="330"/>
      <c r="C9" s="46"/>
      <c r="D9" s="23"/>
      <c r="E9" s="29"/>
      <c r="F9" s="74"/>
      <c r="G9" s="29" t="s">
        <v>555</v>
      </c>
      <c r="H9" s="168"/>
      <c r="I9" s="168"/>
      <c r="J9" s="168"/>
      <c r="K9" s="169" t="s">
        <v>558</v>
      </c>
      <c r="L9" s="170"/>
      <c r="M9" s="46"/>
      <c r="N9" s="46"/>
      <c r="S9" s="46"/>
      <c r="V9" s="77"/>
      <c r="AB9" s="7"/>
      <c r="AC9" s="7"/>
      <c r="AD9" s="7"/>
      <c r="AE9" s="7"/>
      <c r="AF9" s="7"/>
      <c r="AG9" s="43">
        <v>0</v>
      </c>
    </row>
    <row r="10" spans="1:33" ht="11.25" hidden="1" customHeight="1">
      <c r="AG10" s="4">
        <v>0</v>
      </c>
    </row>
    <row r="11" spans="1:33" ht="18.75" hidden="1" customHeight="1">
      <c r="D11" s="23"/>
      <c r="E11" s="172"/>
      <c r="F11" s="74"/>
      <c r="G11" s="29" t="s">
        <v>559</v>
      </c>
      <c r="H11" s="168"/>
      <c r="I11" s="168"/>
      <c r="J11" s="168"/>
      <c r="K11" s="29" t="s">
        <v>560</v>
      </c>
      <c r="L11" s="170"/>
      <c r="AG11" s="4">
        <v>0</v>
      </c>
    </row>
    <row r="12" spans="1:33" ht="11.25" hidden="1" customHeight="1">
      <c r="AG12" s="4">
        <v>0</v>
      </c>
    </row>
    <row r="13" spans="1:33" ht="22.5" hidden="1" customHeight="1">
      <c r="D13" s="23"/>
      <c r="E13" s="172"/>
      <c r="F13" s="74"/>
      <c r="G13" s="169" t="s">
        <v>561</v>
      </c>
      <c r="H13" s="171"/>
      <c r="I13" s="171"/>
      <c r="J13" s="171"/>
      <c r="K13" s="245" t="s">
        <v>562</v>
      </c>
      <c r="L13" s="170"/>
      <c r="AG13" s="4">
        <v>0</v>
      </c>
    </row>
    <row r="14" spans="1:33" ht="11.25" hidden="1" customHeight="1">
      <c r="AG14" s="4">
        <v>0</v>
      </c>
    </row>
    <row r="15" spans="1:33" ht="22.5" hidden="1" customHeight="1">
      <c r="D15" s="23"/>
      <c r="E15" s="172"/>
      <c r="F15" s="74"/>
      <c r="G15" s="29" t="s">
        <v>563</v>
      </c>
      <c r="H15" s="171"/>
      <c r="I15" s="171"/>
      <c r="J15" s="171"/>
      <c r="K15" s="29" t="s">
        <v>564</v>
      </c>
      <c r="L15" s="170"/>
      <c r="AG15" s="4">
        <v>0</v>
      </c>
    </row>
    <row r="16" spans="1:33" ht="11.25" hidden="1" customHeight="1">
      <c r="AG16" s="4">
        <v>0</v>
      </c>
    </row>
    <row r="17" spans="1:33" ht="22.5" hidden="1" customHeight="1">
      <c r="D17" s="23"/>
      <c r="E17" s="172"/>
      <c r="F17" s="74"/>
      <c r="G17" s="29" t="s">
        <v>565</v>
      </c>
      <c r="H17" s="171"/>
      <c r="I17" s="171"/>
      <c r="J17" s="171"/>
      <c r="K17" s="29" t="s">
        <v>566</v>
      </c>
      <c r="L17" s="170"/>
      <c r="AG17" s="4">
        <v>0</v>
      </c>
    </row>
    <row r="18" spans="1:33" ht="11.25" hidden="1" customHeight="1">
      <c r="AG18" s="4">
        <v>0</v>
      </c>
    </row>
    <row r="19" spans="1:33" s="7" customFormat="1" ht="11.25" hidden="1" customHeight="1">
      <c r="A19" s="330"/>
      <c r="B19" s="43"/>
      <c r="C19" s="46"/>
      <c r="K19" s="7">
        <v>4</v>
      </c>
      <c r="L19" s="43"/>
      <c r="M19" s="46"/>
      <c r="N19" s="46"/>
      <c r="O19" s="43"/>
      <c r="P19" s="43"/>
      <c r="Q19" s="43"/>
      <c r="R19" s="43"/>
      <c r="S19" s="46"/>
      <c r="T19" s="43"/>
      <c r="U19" s="43"/>
      <c r="V19" s="77"/>
      <c r="W19" s="43"/>
      <c r="X19" s="43"/>
      <c r="Y19" s="43"/>
      <c r="Z19" s="43"/>
      <c r="AA19" s="43"/>
      <c r="AG19" s="7">
        <v>0</v>
      </c>
    </row>
    <row r="20" spans="1:33" ht="11.45" customHeight="1">
      <c r="AG20" s="4">
        <v>11</v>
      </c>
    </row>
    <row r="21" spans="1:33" ht="25.15" customHeight="1">
      <c r="E21" s="697" t="str">
        <f>FHD_NAME_FORM</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F21" s="697"/>
      <c r="G21" s="697"/>
      <c r="H21" s="697"/>
      <c r="I21" s="697"/>
      <c r="J21" s="128"/>
      <c r="K21" s="40"/>
      <c r="AG21" s="4">
        <v>24</v>
      </c>
    </row>
    <row r="22" spans="1:33" ht="25.15" customHeight="1">
      <c r="E22" s="712" t="str">
        <f>IF(org=0,"Не определено",org)</f>
        <v>ООО "Восточная Тепловая компания"</v>
      </c>
      <c r="F22" s="712"/>
      <c r="G22" s="712"/>
      <c r="H22" s="712"/>
      <c r="I22" s="712"/>
      <c r="J22" s="358"/>
      <c r="AG22" s="4">
        <v>24</v>
      </c>
    </row>
    <row r="23" spans="1:33" ht="11.45" customHeight="1">
      <c r="J23" s="4" t="s">
        <v>22</v>
      </c>
      <c r="AG23" s="4">
        <v>11</v>
      </c>
    </row>
    <row r="24" spans="1:33" s="46" customFormat="1" ht="1.1499999999999999" customHeight="1">
      <c r="A24" s="160"/>
      <c r="H24" s="297"/>
      <c r="I24" s="297" t="s">
        <v>118</v>
      </c>
      <c r="J24" s="297" t="s">
        <v>124</v>
      </c>
      <c r="AG24" s="46">
        <v>1</v>
      </c>
    </row>
    <row r="25" spans="1:33" ht="11.45" customHeight="1">
      <c r="E25" s="217"/>
      <c r="F25" s="666" t="s">
        <v>106</v>
      </c>
      <c r="G25" s="661"/>
      <c r="H25" s="270" t="str">
        <f>IF(H24="","",INDEX(DIFFERENTIATION_UNMERGE_VD,MATCH(H24,DIFFERENTIATION_ID_DIFF,0)))</f>
        <v/>
      </c>
      <c r="I25" s="270" t="str">
        <f>IF(I24="","",INDEX(DIFFERENTIATION_UNMERGE_VD,MATCH(I24,DIFFERENTIATION_ID_DIFF,0)))</f>
        <v>Производство тепловой энергии. Некомбинированная выработка; Передача. Тепловая энергия; Сбыт. Тепловая энергия</v>
      </c>
      <c r="J25" s="270" t="str">
        <f>IF(J24="","",INDEX(DIFFERENTIATION_UNMERGE_VD,MATCH(J24,DIFFERENTIATION_ID_DIFF,0)))</f>
        <v>Производство. Теплоноситель; Передача. Теплоноситель; Сбыт. Теплоноситель</v>
      </c>
      <c r="K25" s="679"/>
      <c r="AG25" s="4">
        <v>11</v>
      </c>
    </row>
    <row r="26" spans="1:33" ht="11.45" customHeight="1">
      <c r="E26" s="217"/>
      <c r="F26" s="666" t="s">
        <v>567</v>
      </c>
      <c r="G26" s="661"/>
      <c r="H26" s="270" t="str">
        <f>IF(H24="","",INDEX(DIFFERENTIATION_UNMERGE_AREA,MATCH(H24,DIFFERENTIATION_ID_DIFF,0)))</f>
        <v/>
      </c>
      <c r="I26" s="270" t="str">
        <f>IF(I24="","",INDEX(DIFFERENTIATION_UNMERGE_AREA,MATCH(I24,DIFFERENTIATION_ID_DIFF,0)))</f>
        <v>Территория 1</v>
      </c>
      <c r="J26" s="270" t="str">
        <f>IF(J24="","",INDEX(DIFFERENTIATION_UNMERGE_AREA,MATCH(J24,DIFFERENTIATION_ID_DIFF,0)))</f>
        <v/>
      </c>
      <c r="K26" s="679"/>
      <c r="AG26" s="4">
        <v>11</v>
      </c>
    </row>
    <row r="27" spans="1:33" ht="11.45" customHeight="1">
      <c r="E27" s="217"/>
      <c r="F27" s="666" t="s">
        <v>568</v>
      </c>
      <c r="G27" s="661"/>
      <c r="H27" s="270" t="str">
        <f>IF(H24="","",INDEX(DIFFERENTIATION_UNMERGE_SYSTEM,MATCH(H24,DIFFERENTIATION_ID_DIFF,0)))</f>
        <v/>
      </c>
      <c r="I27" s="270" t="str">
        <f>IF(I24="","",INDEX(DIFFERENTIATION_UNMERGE_SYSTEM,MATCH(I24,DIFFERENTIATION_ID_DIFF,0)))</f>
        <v>д. Кисловка</v>
      </c>
      <c r="J27" s="270" t="str">
        <f>IF(J24="","",INDEX(DIFFERENTIATION_UNMERGE_SYSTEM,MATCH(J24,DIFFERENTIATION_ID_DIFF,0)))</f>
        <v>д. Кисловка</v>
      </c>
      <c r="K27" s="679"/>
      <c r="AG27" s="4">
        <v>11</v>
      </c>
    </row>
    <row r="28" spans="1:33" ht="11.45" customHeight="1">
      <c r="E28" s="662" t="s">
        <v>303</v>
      </c>
      <c r="F28" s="666"/>
      <c r="G28" s="666"/>
      <c r="H28" s="223"/>
      <c r="I28" s="223"/>
      <c r="J28" s="223"/>
      <c r="K28" s="679"/>
      <c r="AG28" s="4">
        <v>11</v>
      </c>
    </row>
    <row r="29" spans="1:33" ht="24" customHeight="1">
      <c r="E29" s="29" t="s">
        <v>88</v>
      </c>
      <c r="F29" s="29" t="s">
        <v>305</v>
      </c>
      <c r="G29" s="29" t="s">
        <v>569</v>
      </c>
      <c r="H29" s="29" t="s">
        <v>306</v>
      </c>
      <c r="I29" s="29" t="s">
        <v>306</v>
      </c>
      <c r="J29" s="29" t="s">
        <v>306</v>
      </c>
      <c r="K29" s="679"/>
      <c r="AG29" s="4">
        <v>23</v>
      </c>
    </row>
    <row r="30" spans="1:33" ht="19.899999999999999" customHeight="1">
      <c r="D30" s="23"/>
      <c r="E30" s="172">
        <f>FHD_NUM_P_1</f>
        <v>1</v>
      </c>
      <c r="F30" s="29" t="str">
        <f>FHD_P_1</f>
        <v>Выручка от регулируемого вида деятельности с распределением по видам деятельности</v>
      </c>
      <c r="G30" s="29" t="s">
        <v>555</v>
      </c>
      <c r="H30" s="176"/>
      <c r="I30" s="176"/>
      <c r="J30" s="176"/>
      <c r="K30" s="29" t="str">
        <f>FHD_NOTE_P_1</f>
        <v>Указывается выручка от регулируемого вида деятельности с распределением по видам деятельности.</v>
      </c>
      <c r="L30" s="170"/>
      <c r="AG30" s="4">
        <v>19</v>
      </c>
    </row>
    <row r="31" spans="1:33" ht="11.45" customHeight="1">
      <c r="D31" s="23"/>
      <c r="E31" s="172">
        <f>FHD_NUM_P_2</f>
        <v>2</v>
      </c>
      <c r="F31" s="29" t="str">
        <f>FHD_P_2</f>
        <v>Себестоимость производимых товаров (оказываемых услуг) по регулируемому виду деятельности, включая:</v>
      </c>
      <c r="G31" s="29" t="s">
        <v>555</v>
      </c>
      <c r="H31" s="177">
        <f>SUMIF($L33:$L71,$L31,H33:H71)</f>
        <v>0</v>
      </c>
      <c r="I31" s="177">
        <f>SUMIF($L33:$L71,$L31,I33:I71)</f>
        <v>0</v>
      </c>
      <c r="J31" s="177">
        <f>SUMIF($L33:$L71,$L31,J33:J71)</f>
        <v>0</v>
      </c>
      <c r="K31" s="29" t="str">
        <f>FHD_NOTE_P_2</f>
        <v>Указывается суммарная себестоимость производимых товаров.</v>
      </c>
      <c r="L31" s="46" t="s">
        <v>570</v>
      </c>
      <c r="AG31" s="4">
        <v>11</v>
      </c>
    </row>
    <row r="32" spans="1:33" ht="11.45" customHeight="1">
      <c r="D32" s="23"/>
      <c r="E32" s="172" t="str">
        <f>FHD_NUM_P_3</f>
        <v>2.1</v>
      </c>
      <c r="F32" s="29" t="str">
        <f>FHD_P_3</f>
        <v>Расходы на приобретаемую тепловую энергию (мощность), теплоноситель</v>
      </c>
      <c r="G32" s="29" t="s">
        <v>555</v>
      </c>
      <c r="H32" s="176"/>
      <c r="I32" s="176"/>
      <c r="J32" s="176"/>
      <c r="K32" s="29" t="str">
        <f>FHD_NOTE_P_3</f>
        <v/>
      </c>
      <c r="L32" s="46" t="str">
        <f t="shared" ref="L32:L70" si="0">IF((LEN(E32)-LEN(SUBSTITUTE(E32,".","")))/LEN(".")=1,"p","")</f>
        <v>p</v>
      </c>
      <c r="AG32" s="4">
        <v>11</v>
      </c>
    </row>
    <row r="33" spans="1:33" ht="11.25" customHeight="1">
      <c r="A33" s="805" t="s">
        <v>571</v>
      </c>
      <c r="D33" s="23"/>
      <c r="E33" s="172" t="str">
        <f>FHD_NUM_P_4</f>
        <v>2.2</v>
      </c>
      <c r="F33" s="29" t="str">
        <f>FHD_P_4</f>
        <v>Расходы на топливо с указанием по каждому виду топлива стоимости (за единицу объема), объема и способа его приобретения, стоимости его доставки</v>
      </c>
      <c r="G33" s="29" t="s">
        <v>555</v>
      </c>
      <c r="H33" s="177">
        <f>SUMIF($F34:$F40,$F3,H34:H40)</f>
        <v>0</v>
      </c>
      <c r="I33" s="177">
        <f>SUMIF($F34:$F40,$F3,I34:I40)</f>
        <v>0</v>
      </c>
      <c r="J33" s="177">
        <f>SUMIF($F34:$F40,$F3,J34:J40)</f>
        <v>0</v>
      </c>
      <c r="K33" s="29" t="str">
        <f>FHD_NOTE_P_4</f>
        <v>Указываются суммарные расходы на приобретение топлива всех видов.</v>
      </c>
      <c r="L33" s="46" t="str">
        <f t="shared" si="0"/>
        <v>p</v>
      </c>
      <c r="AG33" s="4">
        <v>0</v>
      </c>
    </row>
    <row r="34" spans="1:33" s="117" customFormat="1" ht="0.75" customHeight="1">
      <c r="A34" s="805"/>
      <c r="B34" s="806" t="str">
        <f>E33&amp;".0"</f>
        <v>2.2.0</v>
      </c>
      <c r="C34" s="160"/>
      <c r="D34" s="178"/>
      <c r="E34" s="179"/>
      <c r="F34" s="180"/>
      <c r="G34" s="180"/>
      <c r="H34" s="156"/>
      <c r="I34" s="156"/>
      <c r="J34" s="156"/>
      <c r="K34" s="180"/>
      <c r="L34" s="46" t="str">
        <f t="shared" si="0"/>
        <v/>
      </c>
      <c r="M34" s="46"/>
      <c r="N34" s="46"/>
      <c r="O34" s="46"/>
      <c r="P34" s="46"/>
      <c r="Q34" s="46"/>
      <c r="R34" s="46"/>
      <c r="S34" s="46"/>
      <c r="T34" s="46"/>
      <c r="U34" s="46"/>
      <c r="V34" s="181"/>
      <c r="W34" s="46"/>
      <c r="X34" s="46"/>
      <c r="Y34" s="46"/>
      <c r="Z34" s="46"/>
      <c r="AA34" s="46"/>
      <c r="AB34" s="88"/>
      <c r="AC34" s="88"/>
      <c r="AD34" s="88"/>
      <c r="AE34" s="88"/>
      <c r="AF34" s="88"/>
      <c r="AG34" s="117">
        <v>0</v>
      </c>
    </row>
    <row r="35" spans="1:33" s="117" customFormat="1" ht="0.75" customHeight="1">
      <c r="A35" s="805"/>
      <c r="B35" s="806"/>
      <c r="C35" s="160"/>
      <c r="D35" s="178"/>
      <c r="E35" s="182"/>
      <c r="F35" s="180"/>
      <c r="G35" s="180"/>
      <c r="H35" s="183"/>
      <c r="I35" s="183"/>
      <c r="J35" s="183"/>
      <c r="K35" s="180"/>
      <c r="L35" s="46" t="str">
        <f t="shared" si="0"/>
        <v/>
      </c>
      <c r="M35" s="46"/>
      <c r="N35" s="46"/>
      <c r="O35" s="46"/>
      <c r="P35" s="46"/>
      <c r="Q35" s="46"/>
      <c r="R35" s="46"/>
      <c r="S35" s="46"/>
      <c r="T35" s="46"/>
      <c r="U35" s="46"/>
      <c r="V35" s="181"/>
      <c r="W35" s="46"/>
      <c r="X35" s="46"/>
      <c r="Y35" s="46"/>
      <c r="Z35" s="46"/>
      <c r="AA35" s="46"/>
      <c r="AB35" s="88"/>
      <c r="AC35" s="88"/>
      <c r="AD35" s="88"/>
      <c r="AE35" s="88"/>
      <c r="AF35" s="88"/>
      <c r="AG35" s="117">
        <v>0</v>
      </c>
    </row>
    <row r="36" spans="1:33" s="117" customFormat="1" ht="0.75" customHeight="1">
      <c r="A36" s="805"/>
      <c r="B36" s="806"/>
      <c r="C36" s="160"/>
      <c r="D36" s="178"/>
      <c r="E36" s="182"/>
      <c r="F36" s="180"/>
      <c r="G36" s="180"/>
      <c r="H36" s="183"/>
      <c r="I36" s="183"/>
      <c r="J36" s="183"/>
      <c r="K36" s="180"/>
      <c r="L36" s="46" t="str">
        <f t="shared" si="0"/>
        <v/>
      </c>
      <c r="M36" s="46"/>
      <c r="N36" s="46"/>
      <c r="O36" s="46"/>
      <c r="P36" s="46"/>
      <c r="Q36" s="46"/>
      <c r="R36" s="46"/>
      <c r="S36" s="46"/>
      <c r="T36" s="46"/>
      <c r="U36" s="46"/>
      <c r="V36" s="181"/>
      <c r="W36" s="46"/>
      <c r="X36" s="46"/>
      <c r="Y36" s="46"/>
      <c r="Z36" s="46"/>
      <c r="AA36" s="46"/>
      <c r="AB36" s="88"/>
      <c r="AC36" s="88"/>
      <c r="AD36" s="88"/>
      <c r="AE36" s="88"/>
      <c r="AF36" s="88"/>
      <c r="AG36" s="117">
        <v>0</v>
      </c>
    </row>
    <row r="37" spans="1:33" s="117" customFormat="1" ht="0.75" customHeight="1">
      <c r="A37" s="805"/>
      <c r="B37" s="806"/>
      <c r="C37" s="160"/>
      <c r="D37" s="178"/>
      <c r="E37" s="182"/>
      <c r="F37" s="180"/>
      <c r="G37" s="180"/>
      <c r="H37" s="183"/>
      <c r="I37" s="183"/>
      <c r="J37" s="183"/>
      <c r="K37" s="180"/>
      <c r="L37" s="46" t="str">
        <f t="shared" si="0"/>
        <v/>
      </c>
      <c r="M37" s="46"/>
      <c r="N37" s="46"/>
      <c r="O37" s="46"/>
      <c r="P37" s="46"/>
      <c r="Q37" s="46"/>
      <c r="R37" s="46"/>
      <c r="S37" s="46"/>
      <c r="T37" s="46"/>
      <c r="U37" s="46"/>
      <c r="V37" s="181"/>
      <c r="W37" s="46"/>
      <c r="X37" s="46"/>
      <c r="Y37" s="46"/>
      <c r="Z37" s="46"/>
      <c r="AA37" s="46"/>
      <c r="AB37" s="88"/>
      <c r="AC37" s="88"/>
      <c r="AD37" s="88"/>
      <c r="AE37" s="88"/>
      <c r="AF37" s="88"/>
      <c r="AG37" s="117">
        <v>0</v>
      </c>
    </row>
    <row r="38" spans="1:33" s="117" customFormat="1" ht="0.75" customHeight="1">
      <c r="A38" s="805"/>
      <c r="B38" s="806"/>
      <c r="C38" s="160"/>
      <c r="D38" s="178"/>
      <c r="E38" s="182"/>
      <c r="F38" s="180"/>
      <c r="G38" s="180"/>
      <c r="H38" s="183"/>
      <c r="I38" s="183"/>
      <c r="J38" s="183"/>
      <c r="K38" s="180"/>
      <c r="L38" s="46" t="str">
        <f t="shared" si="0"/>
        <v/>
      </c>
      <c r="M38" s="46"/>
      <c r="N38" s="46"/>
      <c r="O38" s="46"/>
      <c r="P38" s="46"/>
      <c r="Q38" s="46"/>
      <c r="R38" s="46"/>
      <c r="S38" s="46"/>
      <c r="T38" s="46"/>
      <c r="U38" s="46"/>
      <c r="V38" s="181"/>
      <c r="W38" s="46"/>
      <c r="X38" s="46"/>
      <c r="Y38" s="46"/>
      <c r="Z38" s="46"/>
      <c r="AA38" s="46"/>
      <c r="AB38" s="88"/>
      <c r="AC38" s="88"/>
      <c r="AD38" s="88"/>
      <c r="AE38" s="88"/>
      <c r="AF38" s="88"/>
      <c r="AG38" s="117">
        <v>0</v>
      </c>
    </row>
    <row r="39" spans="1:33" s="117" customFormat="1" ht="0.75" customHeight="1">
      <c r="A39" s="805"/>
      <c r="B39" s="806"/>
      <c r="C39" s="160"/>
      <c r="D39" s="178"/>
      <c r="E39" s="182"/>
      <c r="F39" s="180"/>
      <c r="G39" s="180"/>
      <c r="H39" s="156"/>
      <c r="I39" s="156"/>
      <c r="J39" s="156"/>
      <c r="K39" s="180"/>
      <c r="L39" s="46" t="str">
        <f t="shared" si="0"/>
        <v/>
      </c>
      <c r="M39" s="46"/>
      <c r="N39" s="46"/>
      <c r="O39" s="46"/>
      <c r="P39" s="46"/>
      <c r="Q39" s="46"/>
      <c r="R39" s="46"/>
      <c r="S39" s="46"/>
      <c r="T39" s="46"/>
      <c r="U39" s="46"/>
      <c r="V39" s="181"/>
      <c r="W39" s="46"/>
      <c r="X39" s="46"/>
      <c r="Y39" s="46"/>
      <c r="Z39" s="46"/>
      <c r="AA39" s="46"/>
      <c r="AB39" s="88"/>
      <c r="AC39" s="88"/>
      <c r="AD39" s="88"/>
      <c r="AE39" s="88"/>
      <c r="AF39" s="88"/>
      <c r="AG39" s="117">
        <v>0</v>
      </c>
    </row>
    <row r="40" spans="1:33" s="43" customFormat="1" ht="15" customHeight="1">
      <c r="A40" s="805"/>
      <c r="C40" s="46"/>
      <c r="D40" s="16"/>
      <c r="E40" s="184"/>
      <c r="F40" s="37" t="s">
        <v>572</v>
      </c>
      <c r="G40" s="185"/>
      <c r="H40" s="186"/>
      <c r="I40" s="186"/>
      <c r="J40" s="186"/>
      <c r="K40" s="100"/>
      <c r="L40" s="46" t="str">
        <f t="shared" si="0"/>
        <v/>
      </c>
      <c r="M40" s="46"/>
      <c r="N40" s="46"/>
      <c r="S40" s="46"/>
      <c r="V40" s="77"/>
      <c r="AB40" s="7"/>
      <c r="AC40" s="7"/>
      <c r="AD40" s="7"/>
      <c r="AE40" s="7"/>
      <c r="AF40" s="7"/>
      <c r="AG40" s="43">
        <v>0</v>
      </c>
    </row>
    <row r="41" spans="1:33" ht="11.25" hidden="1" customHeight="1">
      <c r="A41" s="805" t="s">
        <v>573</v>
      </c>
      <c r="D41" s="23"/>
      <c r="E41" s="172" t="str">
        <f>FHD_NUM_P_5</f>
        <v/>
      </c>
      <c r="F41" s="29" t="str">
        <f>FHD_P_5</f>
        <v/>
      </c>
      <c r="G41" s="29" t="s">
        <v>555</v>
      </c>
      <c r="H41" s="176"/>
      <c r="I41" s="176"/>
      <c r="J41" s="176"/>
      <c r="K41" s="29" t="str">
        <f>FHD_NOTE_P_5</f>
        <v/>
      </c>
      <c r="L41" s="46" t="str">
        <f t="shared" si="0"/>
        <v/>
      </c>
      <c r="AG41" s="4">
        <v>0</v>
      </c>
    </row>
    <row r="42" spans="1:33" ht="11.25" hidden="1" customHeight="1">
      <c r="A42" s="805"/>
      <c r="D42" s="23"/>
      <c r="E42" s="172" t="str">
        <f>FHD_NUM_P_6</f>
        <v/>
      </c>
      <c r="F42" s="29" t="str">
        <f>FHD_P_6</f>
        <v/>
      </c>
      <c r="G42" s="29" t="s">
        <v>555</v>
      </c>
      <c r="H42" s="176"/>
      <c r="I42" s="176"/>
      <c r="J42" s="176"/>
      <c r="K42" s="29" t="str">
        <f>FHD_NOTE_P_6</f>
        <v/>
      </c>
      <c r="L42" s="46" t="str">
        <f t="shared" si="0"/>
        <v/>
      </c>
      <c r="AG42" s="4">
        <v>0</v>
      </c>
    </row>
    <row r="43" spans="1:33" ht="11.25" hidden="1" customHeight="1">
      <c r="A43" s="805"/>
      <c r="D43" s="23"/>
      <c r="E43" s="172" t="str">
        <f>FHD_NUM_P_7</f>
        <v/>
      </c>
      <c r="F43" s="29" t="str">
        <f>FHD_P_7</f>
        <v/>
      </c>
      <c r="G43" s="29" t="s">
        <v>555</v>
      </c>
      <c r="H43" s="176"/>
      <c r="I43" s="176"/>
      <c r="J43" s="176"/>
      <c r="K43" s="29" t="str">
        <f>FHD_NOTE_P_7</f>
        <v/>
      </c>
      <c r="L43" s="46" t="str">
        <f t="shared" si="0"/>
        <v/>
      </c>
      <c r="AG43" s="4">
        <v>0</v>
      </c>
    </row>
    <row r="44" spans="1:33" ht="11.45" customHeight="1">
      <c r="D44" s="23"/>
      <c r="E44" s="172" t="str">
        <f>FHD_NUM_P_8</f>
        <v>2.3</v>
      </c>
      <c r="F44" s="29" t="str">
        <f>FHD_P_8</f>
        <v>Расходы на приобретаемую электрическую энергию (мощность), используемую в технологическом процессе</v>
      </c>
      <c r="G44" s="29" t="s">
        <v>555</v>
      </c>
      <c r="H44" s="176"/>
      <c r="I44" s="176"/>
      <c r="J44" s="176"/>
      <c r="K44" s="29" t="str">
        <f>FHD_NOTE_P_8</f>
        <v/>
      </c>
      <c r="L44" s="46" t="str">
        <f t="shared" si="0"/>
        <v>p</v>
      </c>
      <c r="AG44" s="4">
        <v>11</v>
      </c>
    </row>
    <row r="45" spans="1:33" ht="11.45" customHeight="1">
      <c r="D45" s="23"/>
      <c r="E45" s="172" t="str">
        <f>FHD_NUM_P_9</f>
        <v>2.3.1</v>
      </c>
      <c r="F45" s="29" t="str">
        <f>FHD_P_9</f>
        <v>Средневзвешенная стоимость 1 кВт.ч (с учетом мощности)</v>
      </c>
      <c r="G45" s="29" t="s">
        <v>574</v>
      </c>
      <c r="H45" s="176"/>
      <c r="I45" s="176"/>
      <c r="J45" s="176"/>
      <c r="K45" s="29" t="str">
        <f>FHD_NOTE_P_9</f>
        <v/>
      </c>
      <c r="L45" s="46" t="str">
        <f t="shared" si="0"/>
        <v/>
      </c>
      <c r="AG45" s="4">
        <v>11</v>
      </c>
    </row>
    <row r="46" spans="1:33" s="43" customFormat="1" ht="11.45" customHeight="1">
      <c r="A46" s="330"/>
      <c r="C46" s="46"/>
      <c r="D46" s="187"/>
      <c r="E46" s="172" t="str">
        <f>FHD_NUM_P_10</f>
        <v>2.3.2</v>
      </c>
      <c r="F46" s="29" t="str">
        <f>FHD_P_10</f>
        <v>Объём приобретения электрической энергии</v>
      </c>
      <c r="G46" s="29" t="s">
        <v>575</v>
      </c>
      <c r="H46" s="176"/>
      <c r="I46" s="176"/>
      <c r="J46" s="176"/>
      <c r="K46" s="29" t="str">
        <f>FHD_NOTE_P_10</f>
        <v/>
      </c>
      <c r="L46" s="46" t="str">
        <f t="shared" si="0"/>
        <v/>
      </c>
      <c r="M46" s="46"/>
      <c r="N46" s="46"/>
      <c r="S46" s="46"/>
      <c r="V46" s="77"/>
      <c r="AB46" s="7"/>
      <c r="AC46" s="7"/>
      <c r="AD46" s="7"/>
      <c r="AE46" s="7"/>
      <c r="AF46" s="7"/>
      <c r="AG46" s="43">
        <v>11</v>
      </c>
    </row>
    <row r="47" spans="1:33" s="43" customFormat="1" ht="11.25" customHeight="1">
      <c r="A47" s="331" t="s">
        <v>576</v>
      </c>
      <c r="C47" s="46"/>
      <c r="D47" s="188"/>
      <c r="E47" s="172" t="str">
        <f>FHD_NUM_P_11</f>
        <v>2.4</v>
      </c>
      <c r="F47" s="29" t="str">
        <f>FHD_P_11</f>
        <v>Расходы на приобретение холодной воды, используемой в технологическом процессе</v>
      </c>
      <c r="G47" s="29" t="s">
        <v>555</v>
      </c>
      <c r="H47" s="176"/>
      <c r="I47" s="176"/>
      <c r="J47" s="176"/>
      <c r="K47" s="29" t="str">
        <f>FHD_NOTE_P_11</f>
        <v/>
      </c>
      <c r="L47" s="46" t="str">
        <f t="shared" si="0"/>
        <v>p</v>
      </c>
      <c r="M47" s="46"/>
      <c r="N47" s="46"/>
      <c r="S47" s="46"/>
      <c r="V47" s="77"/>
      <c r="AB47" s="7"/>
      <c r="AC47" s="7"/>
      <c r="AD47" s="7"/>
      <c r="AE47" s="7"/>
      <c r="AF47" s="7"/>
      <c r="AG47" s="43">
        <v>0</v>
      </c>
    </row>
    <row r="48" spans="1:33" s="43" customFormat="1" ht="18.75" customHeight="1">
      <c r="A48" s="331" t="s">
        <v>577</v>
      </c>
      <c r="C48" s="46"/>
      <c r="D48" s="23"/>
      <c r="E48" s="172" t="str">
        <f>FHD_NUM_P_12</f>
        <v>2.5</v>
      </c>
      <c r="F48" s="29" t="str">
        <f>FHD_P_12</f>
        <v>Расходы на  химические реагенты, используемые в технологическом процессе</v>
      </c>
      <c r="G48" s="29" t="s">
        <v>555</v>
      </c>
      <c r="H48" s="189"/>
      <c r="I48" s="189"/>
      <c r="J48" s="189"/>
      <c r="K48" s="29" t="str">
        <f>FHD_NOTE_P_12</f>
        <v/>
      </c>
      <c r="L48" s="46" t="str">
        <f t="shared" si="0"/>
        <v>p</v>
      </c>
      <c r="M48" s="46"/>
      <c r="N48" s="46"/>
      <c r="S48" s="46"/>
      <c r="V48" s="77"/>
      <c r="AB48" s="7"/>
      <c r="AC48" s="7"/>
      <c r="AD48" s="7"/>
      <c r="AE48" s="7"/>
      <c r="AF48" s="7"/>
      <c r="AG48" s="43">
        <v>18</v>
      </c>
    </row>
    <row r="49" spans="1:33" s="43" customFormat="1" ht="11.45" customHeight="1">
      <c r="A49" s="330"/>
      <c r="C49" s="46"/>
      <c r="D49" s="23"/>
      <c r="E49" s="172" t="str">
        <f>FHD_NUM_P_13</f>
        <v>2.6</v>
      </c>
      <c r="F49" s="29"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29" t="s">
        <v>555</v>
      </c>
      <c r="H49" s="176"/>
      <c r="I49" s="176"/>
      <c r="J49" s="176"/>
      <c r="K49" s="29" t="str">
        <f>FHD_NOTE_P_13</f>
        <v/>
      </c>
      <c r="L49" s="46" t="str">
        <f t="shared" si="0"/>
        <v>p</v>
      </c>
      <c r="M49" s="46"/>
      <c r="N49" s="46"/>
      <c r="S49" s="46"/>
      <c r="V49" s="77"/>
      <c r="AB49" s="7"/>
      <c r="AC49" s="7"/>
      <c r="AD49" s="7"/>
      <c r="AE49" s="7"/>
      <c r="AF49" s="7"/>
      <c r="AG49" s="43">
        <v>11</v>
      </c>
    </row>
    <row r="50" spans="1:33" s="43" customFormat="1" ht="11.45" customHeight="1">
      <c r="A50" s="330"/>
      <c r="C50" s="46"/>
      <c r="D50" s="23"/>
      <c r="E50" s="172" t="str">
        <f>FHD_NUM_P_14</f>
        <v>2.6.1</v>
      </c>
      <c r="F50" s="29" t="str">
        <f>FHD_P_14</f>
        <v>Расходы на оплату труда основного производственного персонала</v>
      </c>
      <c r="G50" s="29" t="s">
        <v>555</v>
      </c>
      <c r="H50" s="176"/>
      <c r="I50" s="176"/>
      <c r="J50" s="176"/>
      <c r="K50" s="29" t="str">
        <f>FHD_NOTE_P_14</f>
        <v/>
      </c>
      <c r="L50" s="46" t="str">
        <f t="shared" si="0"/>
        <v/>
      </c>
      <c r="M50" s="46"/>
      <c r="N50" s="46"/>
      <c r="S50" s="46"/>
      <c r="V50" s="77"/>
      <c r="AB50" s="7"/>
      <c r="AC50" s="7"/>
      <c r="AD50" s="7"/>
      <c r="AE50" s="7"/>
      <c r="AF50" s="7"/>
      <c r="AG50" s="43">
        <v>11</v>
      </c>
    </row>
    <row r="51" spans="1:33" s="43" customFormat="1" ht="11.45" customHeight="1">
      <c r="A51" s="330"/>
      <c r="C51" s="46"/>
      <c r="D51" s="23"/>
      <c r="E51" s="172" t="str">
        <f>FHD_NUM_P_15</f>
        <v>2.6.2</v>
      </c>
      <c r="F51" s="29" t="str">
        <f>FHD_P_15</f>
        <v>Страховые взносы на обязательное социальное страхование, выплачиваемые из фонда оплаты труда основного производственного персонала</v>
      </c>
      <c r="G51" s="29" t="s">
        <v>555</v>
      </c>
      <c r="H51" s="176"/>
      <c r="I51" s="176"/>
      <c r="J51" s="176"/>
      <c r="K51" s="29" t="str">
        <f>FHD_NOTE_P_15</f>
        <v/>
      </c>
      <c r="L51" s="46" t="str">
        <f t="shared" si="0"/>
        <v/>
      </c>
      <c r="M51" s="46"/>
      <c r="N51" s="46"/>
      <c r="S51" s="46"/>
      <c r="V51" s="77"/>
      <c r="AB51" s="7"/>
      <c r="AC51" s="7"/>
      <c r="AD51" s="7"/>
      <c r="AE51" s="7"/>
      <c r="AF51" s="7"/>
      <c r="AG51" s="43">
        <v>11</v>
      </c>
    </row>
    <row r="52" spans="1:33" s="43" customFormat="1" ht="11.45" customHeight="1">
      <c r="A52" s="330"/>
      <c r="C52" s="46"/>
      <c r="D52" s="23"/>
      <c r="E52" s="172" t="str">
        <f>FHD_NUM_P_16</f>
        <v>2.7</v>
      </c>
      <c r="F52" s="29"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29" t="s">
        <v>555</v>
      </c>
      <c r="H52" s="176"/>
      <c r="I52" s="176"/>
      <c r="J52" s="176"/>
      <c r="K52" s="29" t="str">
        <f>FHD_NOTE_P_16</f>
        <v/>
      </c>
      <c r="L52" s="46" t="str">
        <f t="shared" si="0"/>
        <v>p</v>
      </c>
      <c r="M52" s="46"/>
      <c r="N52" s="46"/>
      <c r="S52" s="46"/>
      <c r="V52" s="77"/>
      <c r="AB52" s="7"/>
      <c r="AC52" s="7"/>
      <c r="AD52" s="7"/>
      <c r="AE52" s="7"/>
      <c r="AF52" s="7"/>
      <c r="AG52" s="43">
        <v>11</v>
      </c>
    </row>
    <row r="53" spans="1:33" s="43" customFormat="1" ht="11.45" customHeight="1">
      <c r="A53" s="330"/>
      <c r="C53" s="46"/>
      <c r="D53" s="23"/>
      <c r="E53" s="172" t="str">
        <f>FHD_NUM_P_17</f>
        <v>2.7.1</v>
      </c>
      <c r="F53" s="29" t="str">
        <f>FHD_P_17</f>
        <v>Расходы на оплату труда административно-управленческого персонала</v>
      </c>
      <c r="G53" s="29" t="s">
        <v>555</v>
      </c>
      <c r="H53" s="176"/>
      <c r="I53" s="176"/>
      <c r="J53" s="176"/>
      <c r="K53" s="29" t="str">
        <f>FHD_NOTE_P_17</f>
        <v/>
      </c>
      <c r="L53" s="46" t="str">
        <f t="shared" si="0"/>
        <v/>
      </c>
      <c r="M53" s="46"/>
      <c r="N53" s="46"/>
      <c r="S53" s="46"/>
      <c r="V53" s="77"/>
      <c r="AB53" s="7"/>
      <c r="AC53" s="7"/>
      <c r="AD53" s="7"/>
      <c r="AE53" s="7"/>
      <c r="AF53" s="7"/>
      <c r="AG53" s="43">
        <v>11</v>
      </c>
    </row>
    <row r="54" spans="1:33" s="43" customFormat="1" ht="11.45" customHeight="1">
      <c r="A54" s="330"/>
      <c r="C54" s="46"/>
      <c r="D54" s="23"/>
      <c r="E54" s="172" t="str">
        <f>FHD_NUM_P_18</f>
        <v>2.7.2</v>
      </c>
      <c r="F54" s="29"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29" t="s">
        <v>555</v>
      </c>
      <c r="H54" s="176"/>
      <c r="I54" s="176"/>
      <c r="J54" s="176"/>
      <c r="K54" s="29" t="str">
        <f>FHD_NOTE_P_18</f>
        <v/>
      </c>
      <c r="L54" s="46" t="str">
        <f t="shared" si="0"/>
        <v/>
      </c>
      <c r="M54" s="46"/>
      <c r="N54" s="46"/>
      <c r="S54" s="46"/>
      <c r="V54" s="77"/>
      <c r="AB54" s="7"/>
      <c r="AC54" s="7"/>
      <c r="AD54" s="7"/>
      <c r="AE54" s="7"/>
      <c r="AF54" s="7"/>
      <c r="AG54" s="43">
        <v>11</v>
      </c>
    </row>
    <row r="55" spans="1:33" s="43" customFormat="1" ht="11.45" customHeight="1">
      <c r="A55" s="330"/>
      <c r="C55" s="46"/>
      <c r="D55" s="188"/>
      <c r="E55" s="172" t="str">
        <f>FHD_NUM_P_19</f>
        <v>2.8</v>
      </c>
      <c r="F55" s="29" t="str">
        <f>FHD_P_19</f>
        <v>Расходы на амортизацию основных средств и нематериальных активов</v>
      </c>
      <c r="G55" s="29" t="s">
        <v>555</v>
      </c>
      <c r="H55" s="176"/>
      <c r="I55" s="176"/>
      <c r="J55" s="176"/>
      <c r="K55" s="29" t="str">
        <f>FHD_NOTE_P_19</f>
        <v/>
      </c>
      <c r="L55" s="46" t="str">
        <f t="shared" si="0"/>
        <v>p</v>
      </c>
      <c r="M55" s="46"/>
      <c r="N55" s="46"/>
      <c r="S55" s="46"/>
      <c r="V55" s="77"/>
      <c r="AB55" s="7"/>
      <c r="AC55" s="7"/>
      <c r="AD55" s="7"/>
      <c r="AE55" s="7"/>
      <c r="AF55" s="7"/>
      <c r="AG55" s="43">
        <v>11</v>
      </c>
    </row>
    <row r="56" spans="1:33" s="43" customFormat="1" ht="11.45" customHeight="1">
      <c r="A56" s="330"/>
      <c r="C56" s="46"/>
      <c r="D56" s="188"/>
      <c r="E56" s="172" t="str">
        <f>FHD_NUM_P_20</f>
        <v>2.8.1</v>
      </c>
      <c r="F56" s="29" t="str">
        <f>FHD_P_20</f>
        <v>Расходы на амортизацию основных средств</v>
      </c>
      <c r="G56" s="29" t="s">
        <v>555</v>
      </c>
      <c r="H56" s="176"/>
      <c r="I56" s="176"/>
      <c r="J56" s="176"/>
      <c r="K56" s="29" t="str">
        <f>FHD_NOTE_P_20</f>
        <v/>
      </c>
      <c r="L56" s="46" t="str">
        <f t="shared" si="0"/>
        <v/>
      </c>
      <c r="M56" s="46"/>
      <c r="N56" s="46"/>
      <c r="S56" s="46"/>
      <c r="V56" s="77"/>
      <c r="AB56" s="7"/>
      <c r="AC56" s="7"/>
      <c r="AD56" s="7"/>
      <c r="AE56" s="7"/>
      <c r="AF56" s="7"/>
      <c r="AG56" s="43">
        <v>11</v>
      </c>
    </row>
    <row r="57" spans="1:33" s="43" customFormat="1" ht="11.45" customHeight="1">
      <c r="A57" s="330"/>
      <c r="C57" s="46"/>
      <c r="D57" s="188"/>
      <c r="E57" s="172" t="str">
        <f>FHD_NUM_P_21</f>
        <v>2.8.2</v>
      </c>
      <c r="F57" s="29" t="str">
        <f>FHD_P_21</f>
        <v>Расходы на амортизацию нематериальных активов</v>
      </c>
      <c r="G57" s="29" t="s">
        <v>555</v>
      </c>
      <c r="H57" s="176"/>
      <c r="I57" s="176"/>
      <c r="J57" s="176"/>
      <c r="K57" s="29" t="str">
        <f>FHD_NOTE_P_21</f>
        <v/>
      </c>
      <c r="L57" s="46" t="str">
        <f t="shared" si="0"/>
        <v/>
      </c>
      <c r="M57" s="46"/>
      <c r="N57" s="46"/>
      <c r="S57" s="46"/>
      <c r="V57" s="77"/>
      <c r="AB57" s="7"/>
      <c r="AC57" s="7"/>
      <c r="AD57" s="7"/>
      <c r="AE57" s="7"/>
      <c r="AF57" s="7"/>
      <c r="AG57" s="43">
        <v>11</v>
      </c>
    </row>
    <row r="58" spans="1:33" s="43" customFormat="1" ht="11.45" customHeight="1">
      <c r="A58" s="330"/>
      <c r="C58" s="46"/>
      <c r="D58" s="23"/>
      <c r="E58" s="172" t="str">
        <f>FHD_NUM_P_22</f>
        <v>2.9</v>
      </c>
      <c r="F58" s="29" t="str">
        <f>FHD_P_22</f>
        <v>Расходы на аренду имущества, используемого для осуществления регулируемого вида деятельности</v>
      </c>
      <c r="G58" s="29" t="s">
        <v>555</v>
      </c>
      <c r="H58" s="176"/>
      <c r="I58" s="176"/>
      <c r="J58" s="176"/>
      <c r="K58" s="29" t="str">
        <f>FHD_NOTE_P_22</f>
        <v/>
      </c>
      <c r="L58" s="46" t="str">
        <f t="shared" si="0"/>
        <v>p</v>
      </c>
      <c r="M58" s="46"/>
      <c r="N58" s="46"/>
      <c r="S58" s="46"/>
      <c r="V58" s="77"/>
      <c r="AB58" s="7"/>
      <c r="AC58" s="7"/>
      <c r="AD58" s="7"/>
      <c r="AE58" s="7"/>
      <c r="AF58" s="7"/>
      <c r="AG58" s="43">
        <v>11</v>
      </c>
    </row>
    <row r="59" spans="1:33" s="43" customFormat="1" ht="11.45" customHeight="1">
      <c r="A59" s="330"/>
      <c r="C59" s="46"/>
      <c r="D59" s="188"/>
      <c r="E59" s="172" t="str">
        <f>FHD_NUM_P_23</f>
        <v>2.10</v>
      </c>
      <c r="F59" s="29" t="str">
        <f>FHD_P_23</f>
        <v>Общепроизводственные расходы, в том числе:</v>
      </c>
      <c r="G59" s="29" t="s">
        <v>555</v>
      </c>
      <c r="H59" s="176"/>
      <c r="I59" s="176"/>
      <c r="J59" s="176"/>
      <c r="K59" s="29" t="str">
        <f>FHD_NOTE_P_23</f>
        <v>Указывается общая сумма общепроизводственных расходов.</v>
      </c>
      <c r="L59" s="46" t="str">
        <f t="shared" si="0"/>
        <v>p</v>
      </c>
      <c r="M59" s="46"/>
      <c r="N59" s="46"/>
      <c r="S59" s="46"/>
      <c r="V59" s="77"/>
      <c r="AB59" s="7"/>
      <c r="AC59" s="7"/>
      <c r="AD59" s="7"/>
      <c r="AE59" s="7"/>
      <c r="AF59" s="7"/>
      <c r="AG59" s="43">
        <v>11</v>
      </c>
    </row>
    <row r="60" spans="1:33" s="43" customFormat="1" ht="11.45" customHeight="1">
      <c r="A60" s="330"/>
      <c r="C60" s="46"/>
      <c r="D60" s="188"/>
      <c r="E60" s="172" t="str">
        <f>FHD_NUM_P_24</f>
        <v>2.10.1</v>
      </c>
      <c r="F60" s="29" t="str">
        <f>FHD_P_24</f>
        <v>Расходы на текущий ремонт</v>
      </c>
      <c r="G60" s="29" t="s">
        <v>555</v>
      </c>
      <c r="H60" s="176"/>
      <c r="I60" s="176"/>
      <c r="J60" s="176"/>
      <c r="K60" s="29" t="str">
        <f>FHD_NOTE_P_24</f>
        <v>Указываются расходы на текущий ремонт, отнесенные к общепроизводственным расходам.</v>
      </c>
      <c r="L60" s="46" t="str">
        <f t="shared" si="0"/>
        <v/>
      </c>
      <c r="M60" s="46"/>
      <c r="N60" s="46"/>
      <c r="S60" s="46"/>
      <c r="V60" s="77"/>
      <c r="AB60" s="7"/>
      <c r="AC60" s="7"/>
      <c r="AD60" s="7"/>
      <c r="AE60" s="7"/>
      <c r="AF60" s="7"/>
      <c r="AG60" s="43">
        <v>11</v>
      </c>
    </row>
    <row r="61" spans="1:33" s="43" customFormat="1" ht="11.45" customHeight="1">
      <c r="A61" s="330"/>
      <c r="C61" s="46"/>
      <c r="D61" s="188"/>
      <c r="E61" s="172" t="str">
        <f>FHD_NUM_P_25</f>
        <v>2.10.2</v>
      </c>
      <c r="F61" s="29" t="str">
        <f>FHD_P_25</f>
        <v>Расходы на капитальный ремонт</v>
      </c>
      <c r="G61" s="29" t="s">
        <v>555</v>
      </c>
      <c r="H61" s="176"/>
      <c r="I61" s="176"/>
      <c r="J61" s="176"/>
      <c r="K61" s="29" t="str">
        <f>FHD_NOTE_P_25</f>
        <v>Указываются расходы на капитальный ремонт, отнесенные к общепроизводственным расходам.</v>
      </c>
      <c r="L61" s="46" t="str">
        <f t="shared" si="0"/>
        <v/>
      </c>
      <c r="M61" s="46"/>
      <c r="N61" s="46"/>
      <c r="S61" s="46"/>
      <c r="V61" s="77"/>
      <c r="AB61" s="7"/>
      <c r="AC61" s="7"/>
      <c r="AD61" s="7"/>
      <c r="AE61" s="7"/>
      <c r="AF61" s="7"/>
      <c r="AG61" s="43">
        <v>11</v>
      </c>
    </row>
    <row r="62" spans="1:33" s="43" customFormat="1" ht="11.45" customHeight="1">
      <c r="A62" s="330"/>
      <c r="C62" s="46"/>
      <c r="D62" s="23"/>
      <c r="E62" s="172" t="str">
        <f>FHD_NUM_P_26</f>
        <v>2.11</v>
      </c>
      <c r="F62" s="29" t="str">
        <f>FHD_P_26</f>
        <v>Общехозяйственные расходы, в том числе:</v>
      </c>
      <c r="G62" s="29" t="s">
        <v>555</v>
      </c>
      <c r="H62" s="176"/>
      <c r="I62" s="176"/>
      <c r="J62" s="176"/>
      <c r="K62" s="29" t="str">
        <f>FHD_NOTE_P_26</f>
        <v>Указывается общая сумма общехозяйственных расходов.</v>
      </c>
      <c r="L62" s="46" t="str">
        <f t="shared" si="0"/>
        <v>p</v>
      </c>
      <c r="M62" s="46"/>
      <c r="N62" s="46"/>
      <c r="S62" s="46"/>
      <c r="V62" s="77"/>
      <c r="AB62" s="7"/>
      <c r="AC62" s="7"/>
      <c r="AD62" s="7"/>
      <c r="AE62" s="7"/>
      <c r="AF62" s="7"/>
      <c r="AG62" s="43">
        <v>11</v>
      </c>
    </row>
    <row r="63" spans="1:33" s="43" customFormat="1" ht="11.45" customHeight="1">
      <c r="A63" s="330"/>
      <c r="C63" s="46"/>
      <c r="D63" s="23"/>
      <c r="E63" s="172" t="str">
        <f>FHD_NUM_P_27</f>
        <v>2.11.1</v>
      </c>
      <c r="F63" s="29" t="str">
        <f>FHD_P_27</f>
        <v>Расходы на текущий ремонт</v>
      </c>
      <c r="G63" s="29" t="s">
        <v>555</v>
      </c>
      <c r="H63" s="176"/>
      <c r="I63" s="176"/>
      <c r="J63" s="176"/>
      <c r="K63" s="29" t="str">
        <f>FHD_NOTE_P_27</f>
        <v>Указываются расходы на текущий ремонт, отнесенные к общехозяйственным расходам.</v>
      </c>
      <c r="L63" s="46" t="str">
        <f t="shared" si="0"/>
        <v/>
      </c>
      <c r="M63" s="46"/>
      <c r="N63" s="46"/>
      <c r="S63" s="46"/>
      <c r="V63" s="77"/>
      <c r="AB63" s="7"/>
      <c r="AC63" s="7"/>
      <c r="AD63" s="7"/>
      <c r="AE63" s="7"/>
      <c r="AF63" s="7"/>
      <c r="AG63" s="43">
        <v>11</v>
      </c>
    </row>
    <row r="64" spans="1:33" s="43" customFormat="1" ht="11.45" customHeight="1">
      <c r="A64" s="330"/>
      <c r="C64" s="46"/>
      <c r="D64" s="23"/>
      <c r="E64" s="172" t="str">
        <f>FHD_NUM_P_28</f>
        <v>2.11.2</v>
      </c>
      <c r="F64" s="29" t="str">
        <f>FHD_P_28</f>
        <v>Расходы на капитальный ремонт</v>
      </c>
      <c r="G64" s="29" t="s">
        <v>555</v>
      </c>
      <c r="H64" s="176"/>
      <c r="I64" s="176"/>
      <c r="J64" s="176"/>
      <c r="K64" s="29" t="str">
        <f>FHD_NOTE_P_28</f>
        <v>Указываются расходы на капитальный ремонт, отнесенные к общехозяйственным расходам.</v>
      </c>
      <c r="L64" s="46" t="str">
        <f t="shared" si="0"/>
        <v/>
      </c>
      <c r="M64" s="46"/>
      <c r="N64" s="46"/>
      <c r="S64" s="46"/>
      <c r="V64" s="77"/>
      <c r="AB64" s="7"/>
      <c r="AC64" s="7"/>
      <c r="AD64" s="7"/>
      <c r="AE64" s="7"/>
      <c r="AF64" s="7"/>
      <c r="AG64" s="43">
        <v>11</v>
      </c>
    </row>
    <row r="65" spans="1:33" s="43" customFormat="1" ht="11.45" customHeight="1">
      <c r="A65" s="330"/>
      <c r="C65" s="46"/>
      <c r="D65" s="23"/>
      <c r="E65" s="172" t="str">
        <f>FHD_NUM_P_29</f>
        <v>2.12</v>
      </c>
      <c r="F65" s="29" t="str">
        <f>FHD_P_29</f>
        <v>Расходы на капитальный и текущий ремонт основных средств</v>
      </c>
      <c r="G65" s="29" t="s">
        <v>555</v>
      </c>
      <c r="H65" s="176"/>
      <c r="I65" s="176"/>
      <c r="J65" s="176"/>
      <c r="K65" s="29" t="str">
        <f>FHD_NOTE_P_29</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65" s="46" t="str">
        <f t="shared" si="0"/>
        <v>p</v>
      </c>
      <c r="M65" s="46"/>
      <c r="N65" s="46"/>
      <c r="S65" s="46"/>
      <c r="V65" s="77"/>
      <c r="AB65" s="7"/>
      <c r="AC65" s="7"/>
      <c r="AD65" s="7"/>
      <c r="AE65" s="7"/>
      <c r="AF65" s="7"/>
      <c r="AG65" s="43">
        <v>11</v>
      </c>
    </row>
    <row r="66" spans="1:33" s="43" customFormat="1" ht="11.45" customHeight="1">
      <c r="A66" s="330"/>
      <c r="C66" s="46"/>
      <c r="D66" s="23"/>
      <c r="E66" s="172" t="str">
        <f>FHD_NUM_P_30</f>
        <v>2.12.1</v>
      </c>
      <c r="F66" s="29"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29" t="s">
        <v>309</v>
      </c>
      <c r="H66" s="69" t="s">
        <v>578</v>
      </c>
      <c r="I66" s="69" t="s">
        <v>578</v>
      </c>
      <c r="J66" s="69" t="s">
        <v>578</v>
      </c>
      <c r="K66" s="29" t="str">
        <f>FHD_NOTE_P_30</f>
        <v/>
      </c>
      <c r="L66" s="46" t="str">
        <f t="shared" si="0"/>
        <v/>
      </c>
      <c r="M66" s="46">
        <f>IFERROR(MATCH("есть",B_FHD_FLAG_INDEX_1,0),0)</f>
        <v>0</v>
      </c>
      <c r="N66" s="46"/>
      <c r="S66" s="46"/>
      <c r="V66" s="77"/>
      <c r="AB66" s="7"/>
      <c r="AC66" s="7"/>
      <c r="AD66" s="7"/>
      <c r="AE66" s="7"/>
      <c r="AF66" s="7"/>
      <c r="AG66" s="43">
        <v>11</v>
      </c>
    </row>
    <row r="67" spans="1:33" s="43" customFormat="1" ht="23.25" hidden="1" customHeight="1">
      <c r="A67" s="805" t="s">
        <v>579</v>
      </c>
      <c r="C67" s="46"/>
      <c r="D67" s="23"/>
      <c r="E67" s="172" t="str">
        <f>FHD_NUM_P_31</f>
        <v/>
      </c>
      <c r="F67" s="29" t="str">
        <f>FHD_P_31</f>
        <v/>
      </c>
      <c r="G67" s="29" t="s">
        <v>555</v>
      </c>
      <c r="H67" s="176"/>
      <c r="I67" s="176"/>
      <c r="J67" s="176"/>
      <c r="K67" s="29" t="str">
        <f>FHD_NOTE_P_31</f>
        <v/>
      </c>
      <c r="L67" s="46" t="str">
        <f t="shared" si="0"/>
        <v/>
      </c>
      <c r="M67" s="46"/>
      <c r="N67" s="46"/>
      <c r="S67" s="46"/>
      <c r="V67" s="77"/>
      <c r="AB67" s="7"/>
      <c r="AC67" s="7"/>
      <c r="AD67" s="7"/>
      <c r="AE67" s="7"/>
      <c r="AF67" s="7"/>
      <c r="AG67" s="43">
        <v>22</v>
      </c>
    </row>
    <row r="68" spans="1:33" s="43" customFormat="1" ht="47.25" hidden="1" customHeight="1">
      <c r="A68" s="805"/>
      <c r="C68" s="46"/>
      <c r="D68" s="23"/>
      <c r="E68" s="172" t="str">
        <f>FHD_NUM_P_32</f>
        <v/>
      </c>
      <c r="F68" s="29" t="str">
        <f>FHD_P_32</f>
        <v/>
      </c>
      <c r="G68" s="29" t="s">
        <v>309</v>
      </c>
      <c r="H68" s="69" t="s">
        <v>578</v>
      </c>
      <c r="I68" s="69" t="s">
        <v>578</v>
      </c>
      <c r="J68" s="69" t="s">
        <v>578</v>
      </c>
      <c r="K68" s="29" t="str">
        <f>FHD_NOTE_P_32</f>
        <v/>
      </c>
      <c r="L68" s="46" t="str">
        <f t="shared" si="0"/>
        <v/>
      </c>
      <c r="M68" s="46">
        <f>IFERROR(MATCH("есть",B_FHD_FLAG_INDEX_2,0),0)</f>
        <v>0</v>
      </c>
      <c r="N68" s="46"/>
      <c r="S68" s="46"/>
      <c r="V68" s="77"/>
      <c r="AB68" s="7"/>
      <c r="AC68" s="7"/>
      <c r="AD68" s="7"/>
      <c r="AE68" s="7"/>
      <c r="AF68" s="7"/>
      <c r="AG68" s="43">
        <v>45</v>
      </c>
    </row>
    <row r="69" spans="1:33" s="43" customFormat="1" ht="11.45" customHeight="1">
      <c r="A69" s="330"/>
      <c r="C69" s="46"/>
      <c r="D69" s="23"/>
      <c r="E69" s="172" t="str">
        <f>FHD_NUM_P_33</f>
        <v>2.13</v>
      </c>
      <c r="F69" s="29" t="str">
        <f>FHD_P_33</f>
        <v>Прочие расходы, которые подлежат отнесению на регулируемые виды деятельности в соответствии с законодательством Российской Федерации</v>
      </c>
      <c r="G69" s="100" t="s">
        <v>555</v>
      </c>
      <c r="H69" s="190">
        <f>SUM(H70:H71)</f>
        <v>0</v>
      </c>
      <c r="I69" s="190">
        <f>SUM(I70:I71)</f>
        <v>0</v>
      </c>
      <c r="J69" s="190">
        <f>SUM(J70:J71)</f>
        <v>0</v>
      </c>
      <c r="K69" s="29" t="str">
        <f>FHD_NOTE_P_33</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L69" s="46" t="str">
        <f t="shared" si="0"/>
        <v>p</v>
      </c>
      <c r="M69" s="46"/>
      <c r="N69" s="46"/>
      <c r="S69" s="46"/>
      <c r="V69" s="77"/>
      <c r="AB69" s="7"/>
      <c r="AC69" s="7"/>
      <c r="AD69" s="7"/>
      <c r="AE69" s="7"/>
      <c r="AF69" s="7"/>
      <c r="AG69" s="43">
        <v>11</v>
      </c>
    </row>
    <row r="70" spans="1:33" s="46" customFormat="1" ht="1.1499999999999999" customHeight="1">
      <c r="A70" s="160"/>
      <c r="D70" s="160"/>
      <c r="E70" s="174" t="str">
        <f>E69&amp;".0"</f>
        <v>2.13.0</v>
      </c>
      <c r="F70" s="174"/>
      <c r="G70" s="174"/>
      <c r="H70" s="332"/>
      <c r="I70" s="332"/>
      <c r="J70" s="332"/>
      <c r="K70" s="333"/>
      <c r="L70" s="46" t="str">
        <f t="shared" si="0"/>
        <v/>
      </c>
      <c r="AG70" s="46">
        <v>1</v>
      </c>
    </row>
    <row r="71" spans="1:33" s="43" customFormat="1" ht="14.65" customHeight="1">
      <c r="A71" s="330"/>
      <c r="C71" s="46"/>
      <c r="D71" s="16"/>
      <c r="E71" s="184"/>
      <c r="F71" s="37" t="s">
        <v>580</v>
      </c>
      <c r="G71" s="185"/>
      <c r="H71" s="186"/>
      <c r="I71" s="186"/>
      <c r="J71" s="186"/>
      <c r="K71" s="100"/>
      <c r="L71" s="46"/>
      <c r="M71" s="46"/>
      <c r="N71" s="46"/>
      <c r="S71" s="46"/>
      <c r="V71" s="77"/>
      <c r="AB71" s="7"/>
      <c r="AC71" s="7"/>
      <c r="AD71" s="7"/>
      <c r="AE71" s="7"/>
      <c r="AF71" s="7"/>
      <c r="AG71" s="43">
        <v>14</v>
      </c>
    </row>
    <row r="72" spans="1:33" s="43" customFormat="1" ht="18.75" customHeight="1">
      <c r="A72" s="331" t="s">
        <v>581</v>
      </c>
      <c r="C72" s="46"/>
      <c r="D72" s="23"/>
      <c r="E72" s="172" t="str">
        <f>FHD_NUM_P_34</f>
        <v>3</v>
      </c>
      <c r="F72" s="29" t="str">
        <f>FHD_P_34</f>
        <v>Валовая прибыль (убытки) от реализации товаров и оказания услуг по регулируемому виду деятельности</v>
      </c>
      <c r="G72" s="29" t="s">
        <v>555</v>
      </c>
      <c r="H72" s="176"/>
      <c r="I72" s="176"/>
      <c r="J72" s="176"/>
      <c r="K72" s="29" t="str">
        <f>FHD_NOTE_P_34</f>
        <v/>
      </c>
      <c r="L72" s="170"/>
      <c r="M72" s="46"/>
      <c r="N72" s="46"/>
      <c r="S72" s="46"/>
      <c r="V72" s="77"/>
      <c r="AB72" s="7"/>
      <c r="AC72" s="7"/>
      <c r="AD72" s="7"/>
      <c r="AE72" s="7"/>
      <c r="AF72" s="7"/>
      <c r="AG72" s="43">
        <v>0</v>
      </c>
    </row>
    <row r="73" spans="1:33" s="43" customFormat="1" ht="19.899999999999999" customHeight="1">
      <c r="A73" s="330"/>
      <c r="C73" s="46"/>
      <c r="D73" s="188"/>
      <c r="E73" s="172" t="str">
        <f>FHD_NUM_P_35</f>
        <v>4</v>
      </c>
      <c r="F73" s="29" t="str">
        <f>FHD_P_35</f>
        <v>Чистая прибыль, полученная от регулируемого вида деятельности, в том числе:</v>
      </c>
      <c r="G73" s="29" t="s">
        <v>555</v>
      </c>
      <c r="H73" s="176"/>
      <c r="I73" s="176"/>
      <c r="J73" s="176"/>
      <c r="K73" s="29" t="str">
        <f>FHD_NOTE_P_35</f>
        <v>Указывается общая сумма чистой прибыли, полученной от регулируемого вида деятельности.</v>
      </c>
      <c r="L73" s="170"/>
      <c r="M73" s="46"/>
      <c r="N73" s="46"/>
      <c r="S73" s="46"/>
      <c r="V73" s="77"/>
      <c r="AB73" s="7"/>
      <c r="AC73" s="7"/>
      <c r="AD73" s="7"/>
      <c r="AE73" s="7"/>
      <c r="AF73" s="7"/>
      <c r="AG73" s="43">
        <v>19</v>
      </c>
    </row>
    <row r="74" spans="1:33" s="43" customFormat="1" ht="19.899999999999999" customHeight="1">
      <c r="A74" s="330"/>
      <c r="C74" s="46"/>
      <c r="D74" s="23"/>
      <c r="E74" s="172" t="str">
        <f>FHD_NUM_P_36</f>
        <v>4.1</v>
      </c>
      <c r="F74" s="29"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29" t="s">
        <v>555</v>
      </c>
      <c r="H74" s="176"/>
      <c r="I74" s="176"/>
      <c r="J74" s="176"/>
      <c r="K74" s="29" t="str">
        <f>FHD_NOTE_P_36</f>
        <v/>
      </c>
      <c r="L74" s="170"/>
      <c r="M74" s="46"/>
      <c r="N74" s="46"/>
      <c r="S74" s="46"/>
      <c r="V74" s="77"/>
      <c r="AB74" s="7"/>
      <c r="AC74" s="7"/>
      <c r="AD74" s="7"/>
      <c r="AE74" s="7"/>
      <c r="AF74" s="7"/>
      <c r="AG74" s="43">
        <v>19</v>
      </c>
    </row>
    <row r="75" spans="1:33" s="43" customFormat="1" ht="19.899999999999999" customHeight="1">
      <c r="A75" s="330"/>
      <c r="C75" s="46"/>
      <c r="D75" s="23"/>
      <c r="E75" s="172" t="str">
        <f>FHD_NUM_P_37</f>
        <v>5</v>
      </c>
      <c r="F75" s="29" t="str">
        <f>FHD_P_37</f>
        <v>Изменение стоимости основных фондов, в том числе:</v>
      </c>
      <c r="G75" s="29" t="s">
        <v>555</v>
      </c>
      <c r="H75" s="176"/>
      <c r="I75" s="176"/>
      <c r="J75" s="176"/>
      <c r="K75" s="29" t="str">
        <f>FHD_NOTE_P_37</f>
        <v>Указывается общее изменение стоимости основных фондов.</v>
      </c>
      <c r="L75" s="170"/>
      <c r="M75" s="46"/>
      <c r="N75" s="46"/>
      <c r="S75" s="46"/>
      <c r="V75" s="77"/>
      <c r="AB75" s="7"/>
      <c r="AC75" s="7"/>
      <c r="AD75" s="7"/>
      <c r="AE75" s="7"/>
      <c r="AF75" s="7"/>
      <c r="AG75" s="43">
        <v>19</v>
      </c>
    </row>
    <row r="76" spans="1:33" s="43" customFormat="1" ht="19.899999999999999" customHeight="1">
      <c r="A76" s="330"/>
      <c r="C76" s="46"/>
      <c r="D76" s="23"/>
      <c r="E76" s="172" t="str">
        <f>FHD_NUM_P_38</f>
        <v>5.1</v>
      </c>
      <c r="F76" s="29" t="str">
        <f>FHD_P_38</f>
        <v>Изменение стоимости основных фондов за счет:</v>
      </c>
      <c r="G76" s="29" t="s">
        <v>555</v>
      </c>
      <c r="H76" s="176"/>
      <c r="I76" s="176"/>
      <c r="J76" s="176"/>
      <c r="K76" s="29" t="str">
        <f>FHD_NOTE_P_38</f>
        <v>Указываются общее изменение стоимости основных фондов за счет их ввода в эксплуатацию и вывода из эксплуатации.</v>
      </c>
      <c r="L76" s="170"/>
      <c r="M76" s="46"/>
      <c r="N76" s="46"/>
      <c r="S76" s="46"/>
      <c r="V76" s="77"/>
      <c r="AB76" s="7"/>
      <c r="AC76" s="7"/>
      <c r="AD76" s="7"/>
      <c r="AE76" s="7"/>
      <c r="AF76" s="7"/>
      <c r="AG76" s="43">
        <v>19</v>
      </c>
    </row>
    <row r="77" spans="1:33" s="43" customFormat="1" ht="19.899999999999999" customHeight="1">
      <c r="A77" s="330"/>
      <c r="C77" s="46"/>
      <c r="D77" s="23"/>
      <c r="E77" s="172" t="str">
        <f>FHD_NUM_P_39</f>
        <v>5.1.1</v>
      </c>
      <c r="F77" s="29" t="str">
        <f>FHD_P_39</f>
        <v>Изменения стоимости основных фондов за счет их ввода в эксплуатацию</v>
      </c>
      <c r="G77" s="100" t="s">
        <v>555</v>
      </c>
      <c r="H77" s="176"/>
      <c r="I77" s="176"/>
      <c r="J77" s="176"/>
      <c r="K77" s="29" t="str">
        <f>FHD_NOTE_P_39</f>
        <v>Указываются изменение стоимости основных фондов за счет их ввода в эксплуатацию.</v>
      </c>
      <c r="L77" s="170"/>
      <c r="M77" s="46"/>
      <c r="N77" s="46"/>
      <c r="S77" s="46"/>
      <c r="V77" s="77"/>
      <c r="AB77" s="7"/>
      <c r="AC77" s="7"/>
      <c r="AD77" s="7"/>
      <c r="AE77" s="7"/>
      <c r="AF77" s="7"/>
      <c r="AG77" s="43">
        <v>19</v>
      </c>
    </row>
    <row r="78" spans="1:33" s="43" customFormat="1" ht="19.899999999999999" customHeight="1">
      <c r="A78" s="330"/>
      <c r="C78" s="46"/>
      <c r="D78" s="23"/>
      <c r="E78" s="172" t="str">
        <f>FHD_NUM_P_40</f>
        <v>5.1.2</v>
      </c>
      <c r="F78" s="217" t="str">
        <f>FHD_P_40</f>
        <v>Изменения стоимости основных фондов за счет их вывода в эксплуатацию</v>
      </c>
      <c r="G78" s="29" t="s">
        <v>555</v>
      </c>
      <c r="H78" s="326"/>
      <c r="I78" s="176"/>
      <c r="J78" s="326"/>
      <c r="K78" s="29" t="str">
        <f>FHD_NOTE_P_40</f>
        <v>Указываются изменение стоимости основных фондов за счет их вывода из эксплуатации.</v>
      </c>
      <c r="L78" s="170"/>
      <c r="M78" s="46"/>
      <c r="N78" s="46"/>
      <c r="S78" s="46"/>
      <c r="V78" s="77"/>
      <c r="AB78" s="7"/>
      <c r="AC78" s="7"/>
      <c r="AD78" s="7"/>
      <c r="AE78" s="7"/>
      <c r="AF78" s="7"/>
      <c r="AG78" s="43">
        <v>19</v>
      </c>
    </row>
    <row r="79" spans="1:33" s="43" customFormat="1" ht="19.899999999999999" customHeight="1">
      <c r="A79" s="330"/>
      <c r="C79" s="46"/>
      <c r="D79" s="23"/>
      <c r="E79" s="172" t="str">
        <f>FHD_NUM_P_41</f>
        <v>5.2</v>
      </c>
      <c r="F79" s="217" t="str">
        <f>FHD_P_41</f>
        <v>Изменение стоимости основных фондов за счет их переоценки</v>
      </c>
      <c r="G79" s="29" t="s">
        <v>555</v>
      </c>
      <c r="H79" s="326"/>
      <c r="I79" s="176"/>
      <c r="J79" s="326"/>
      <c r="K79" s="29" t="str">
        <f>FHD_NOTE_P_41</f>
        <v/>
      </c>
      <c r="L79" s="170"/>
      <c r="M79" s="46"/>
      <c r="N79" s="46"/>
      <c r="S79" s="46"/>
      <c r="V79" s="77"/>
      <c r="AB79" s="7"/>
      <c r="AC79" s="7"/>
      <c r="AD79" s="7"/>
      <c r="AE79" s="7"/>
      <c r="AF79" s="7"/>
      <c r="AG79" s="43">
        <v>19</v>
      </c>
    </row>
    <row r="80" spans="1:33" s="43" customFormat="1" ht="19.899999999999999" hidden="1" customHeight="1">
      <c r="A80" s="331" t="s">
        <v>582</v>
      </c>
      <c r="C80" s="46"/>
      <c r="D80" s="23"/>
      <c r="E80" s="172" t="str">
        <f>FHD_NUM_P_42</f>
        <v/>
      </c>
      <c r="F80" s="217" t="str">
        <f>FHD_P_42</f>
        <v/>
      </c>
      <c r="G80" s="29" t="s">
        <v>555</v>
      </c>
      <c r="H80" s="326"/>
      <c r="I80" s="176"/>
      <c r="J80" s="326"/>
      <c r="K80" s="29" t="str">
        <f>FHD_NOTE_P_42</f>
        <v/>
      </c>
      <c r="L80" s="170"/>
      <c r="M80" s="46"/>
      <c r="N80" s="46"/>
      <c r="S80" s="46"/>
      <c r="V80" s="77"/>
      <c r="AB80" s="7"/>
      <c r="AC80" s="7"/>
      <c r="AD80" s="7"/>
      <c r="AE80" s="7"/>
      <c r="AF80" s="7"/>
      <c r="AG80" s="43">
        <v>19</v>
      </c>
    </row>
    <row r="81" spans="1:33" s="43" customFormat="1" ht="19.899999999999999" customHeight="1">
      <c r="A81" s="330"/>
      <c r="C81" s="46"/>
      <c r="D81" s="23"/>
      <c r="E81" s="172" t="str">
        <f>FHD_NUM_P_43</f>
        <v>6</v>
      </c>
      <c r="F81" s="29" t="str">
        <f>FHD_P_43</f>
        <v>Годовая бухгалтерская (финансовая) отчетность, включая бухгалтерский баланс и приложения к нему</v>
      </c>
      <c r="G81" s="101" t="s">
        <v>309</v>
      </c>
      <c r="H81" s="357"/>
      <c r="I81" s="131"/>
      <c r="J81" s="357"/>
      <c r="K81" s="29" t="str">
        <f>FHD_NOTE_P_43</f>
        <v>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L81" s="170"/>
      <c r="M81" s="46"/>
      <c r="N81" s="46"/>
      <c r="S81" s="46"/>
      <c r="V81" s="77"/>
      <c r="AB81" s="7"/>
      <c r="AC81" s="7"/>
      <c r="AD81" s="7"/>
      <c r="AE81" s="7"/>
      <c r="AF81" s="7"/>
      <c r="AG81" s="43">
        <v>19</v>
      </c>
    </row>
    <row r="82" spans="1:33" s="43" customFormat="1" ht="18.75" hidden="1" customHeight="1">
      <c r="A82" s="805" t="s">
        <v>583</v>
      </c>
      <c r="C82" s="46"/>
      <c r="D82" s="23"/>
      <c r="E82" s="172" t="str">
        <f>FHD_NUM_P_44</f>
        <v/>
      </c>
      <c r="F82" s="29" t="str">
        <f>FHD_P_44</f>
        <v/>
      </c>
      <c r="G82" s="29" t="s">
        <v>584</v>
      </c>
      <c r="H82" s="327"/>
      <c r="I82" s="189"/>
      <c r="J82" s="327"/>
      <c r="K82" s="29" t="str">
        <f>FHD_NOTE_P_44</f>
        <v/>
      </c>
      <c r="L82" s="170"/>
      <c r="M82" s="46"/>
      <c r="N82" s="46"/>
      <c r="S82" s="46"/>
      <c r="V82" s="77"/>
      <c r="AB82" s="7"/>
      <c r="AC82" s="7"/>
      <c r="AD82" s="7"/>
      <c r="AE82" s="7"/>
      <c r="AF82" s="7"/>
      <c r="AG82" s="43">
        <v>0</v>
      </c>
    </row>
    <row r="83" spans="1:33" s="43" customFormat="1" ht="18.75" hidden="1" customHeight="1">
      <c r="A83" s="805"/>
      <c r="C83" s="46"/>
      <c r="D83" s="23"/>
      <c r="E83" s="172" t="str">
        <f>FHD_NUM_P_45</f>
        <v/>
      </c>
      <c r="F83" s="29" t="str">
        <f>FHD_P_45</f>
        <v/>
      </c>
      <c r="G83" s="29" t="s">
        <v>584</v>
      </c>
      <c r="H83" s="327"/>
      <c r="I83" s="189"/>
      <c r="J83" s="327"/>
      <c r="K83" s="29" t="str">
        <f>FHD_NOTE_P_45</f>
        <v/>
      </c>
      <c r="L83" s="170"/>
      <c r="M83" s="46"/>
      <c r="N83" s="46"/>
      <c r="S83" s="46"/>
      <c r="V83" s="77"/>
      <c r="AB83" s="7"/>
      <c r="AC83" s="7"/>
      <c r="AD83" s="7"/>
      <c r="AE83" s="7"/>
      <c r="AF83" s="7"/>
      <c r="AG83" s="43">
        <v>0</v>
      </c>
    </row>
    <row r="84" spans="1:33" s="43" customFormat="1" ht="18.75" hidden="1" customHeight="1">
      <c r="A84" s="805"/>
      <c r="C84" s="46"/>
      <c r="D84" s="188"/>
      <c r="E84" s="172" t="str">
        <f>FHD_NUM_P_46</f>
        <v/>
      </c>
      <c r="F84" s="29" t="str">
        <f>FHD_P_46</f>
        <v/>
      </c>
      <c r="G84" s="29" t="s">
        <v>584</v>
      </c>
      <c r="H84" s="327"/>
      <c r="I84" s="189"/>
      <c r="J84" s="327"/>
      <c r="K84" s="29" t="str">
        <f>FHD_NOTE_P_46</f>
        <v/>
      </c>
      <c r="L84" s="170"/>
      <c r="M84" s="46"/>
      <c r="N84" s="46"/>
      <c r="S84" s="46"/>
      <c r="V84" s="77"/>
      <c r="AB84" s="7"/>
      <c r="AC84" s="7"/>
      <c r="AD84" s="7"/>
      <c r="AE84" s="7"/>
      <c r="AF84" s="7"/>
      <c r="AG84" s="43">
        <v>0</v>
      </c>
    </row>
    <row r="85" spans="1:33" s="43" customFormat="1" ht="18.75" hidden="1" customHeight="1">
      <c r="A85" s="805"/>
      <c r="C85" s="46"/>
      <c r="D85" s="23"/>
      <c r="E85" s="172" t="str">
        <f>FHD_NUM_P_47</f>
        <v/>
      </c>
      <c r="F85" s="29" t="str">
        <f>FHD_P_47</f>
        <v/>
      </c>
      <c r="G85" s="29" t="s">
        <v>584</v>
      </c>
      <c r="H85" s="327"/>
      <c r="I85" s="189"/>
      <c r="J85" s="327"/>
      <c r="K85" s="29" t="str">
        <f>FHD_NOTE_P_47</f>
        <v/>
      </c>
      <c r="L85" s="170"/>
      <c r="M85" s="46"/>
      <c r="N85" s="46"/>
      <c r="S85" s="46"/>
      <c r="V85" s="77"/>
      <c r="AB85" s="7"/>
      <c r="AC85" s="7"/>
      <c r="AD85" s="7"/>
      <c r="AE85" s="7"/>
      <c r="AF85" s="7"/>
      <c r="AG85" s="43">
        <v>0</v>
      </c>
    </row>
    <row r="86" spans="1:33" s="4" customFormat="1" ht="18.75" hidden="1" customHeight="1">
      <c r="A86" s="805"/>
      <c r="B86" s="43"/>
      <c r="C86" s="46"/>
      <c r="D86" s="23"/>
      <c r="E86" s="172" t="str">
        <f>FHD_NUM_P_48</f>
        <v/>
      </c>
      <c r="F86" s="29" t="str">
        <f>FHD_P_48</f>
        <v/>
      </c>
      <c r="G86" s="29" t="s">
        <v>584</v>
      </c>
      <c r="H86" s="327"/>
      <c r="I86" s="189"/>
      <c r="J86" s="327"/>
      <c r="K86" s="29" t="str">
        <f>FHD_NOTE_P_48</f>
        <v/>
      </c>
      <c r="L86" s="170"/>
      <c r="M86" s="46"/>
      <c r="N86" s="46"/>
      <c r="O86" s="43"/>
      <c r="P86" s="43"/>
      <c r="Q86" s="43"/>
      <c r="R86" s="43"/>
      <c r="S86" s="46"/>
      <c r="T86" s="43"/>
      <c r="U86" s="43"/>
      <c r="V86" s="77"/>
      <c r="W86" s="43"/>
      <c r="X86" s="43"/>
      <c r="Y86" s="43"/>
      <c r="Z86" s="43"/>
      <c r="AA86" s="43"/>
      <c r="AB86" s="7"/>
      <c r="AC86" s="7"/>
      <c r="AD86" s="7"/>
      <c r="AE86" s="7"/>
      <c r="AF86" s="7"/>
      <c r="AG86" s="4">
        <v>0</v>
      </c>
    </row>
    <row r="87" spans="1:33" s="4" customFormat="1" ht="18.75" hidden="1" customHeight="1">
      <c r="A87" s="805"/>
      <c r="B87" s="43"/>
      <c r="C87" s="46"/>
      <c r="D87" s="23"/>
      <c r="E87" s="172" t="str">
        <f>FHD_NUM_P_49</f>
        <v/>
      </c>
      <c r="F87" s="29" t="str">
        <f>FHD_P_49</f>
        <v/>
      </c>
      <c r="G87" s="29" t="s">
        <v>584</v>
      </c>
      <c r="H87" s="328">
        <f>SUM(H88:H89)</f>
        <v>0</v>
      </c>
      <c r="I87" s="246">
        <f>SUM(I88:I89)</f>
        <v>0</v>
      </c>
      <c r="J87" s="328">
        <f>SUM(J88:J89)</f>
        <v>0</v>
      </c>
      <c r="K87" s="29" t="str">
        <f>FHD_NOTE_P_49</f>
        <v/>
      </c>
      <c r="L87" s="170"/>
      <c r="M87" s="46"/>
      <c r="N87" s="46"/>
      <c r="O87" s="43"/>
      <c r="P87" s="43"/>
      <c r="Q87" s="43"/>
      <c r="R87" s="43"/>
      <c r="S87" s="46"/>
      <c r="T87" s="43"/>
      <c r="U87" s="43"/>
      <c r="V87" s="77"/>
      <c r="W87" s="43"/>
      <c r="X87" s="43"/>
      <c r="Y87" s="43"/>
      <c r="Z87" s="43"/>
      <c r="AA87" s="43"/>
      <c r="AB87" s="7"/>
      <c r="AC87" s="7"/>
      <c r="AD87" s="7"/>
      <c r="AE87" s="7"/>
      <c r="AF87" s="7"/>
      <c r="AG87" s="4">
        <v>0</v>
      </c>
    </row>
    <row r="88" spans="1:33" s="4" customFormat="1" ht="18.75" hidden="1" customHeight="1">
      <c r="A88" s="805"/>
      <c r="B88" s="43"/>
      <c r="C88" s="46"/>
      <c r="D88" s="23"/>
      <c r="E88" s="172" t="str">
        <f>FHD_NUM_P_50</f>
        <v/>
      </c>
      <c r="F88" s="29" t="str">
        <f>FHD_P_50</f>
        <v/>
      </c>
      <c r="G88" s="29" t="s">
        <v>584</v>
      </c>
      <c r="H88" s="327"/>
      <c r="I88" s="189"/>
      <c r="J88" s="327"/>
      <c r="K88" s="29" t="str">
        <f>FHD_NOTE_P_50</f>
        <v/>
      </c>
      <c r="L88" s="170"/>
      <c r="M88" s="46"/>
      <c r="N88" s="46"/>
      <c r="O88" s="43"/>
      <c r="P88" s="43"/>
      <c r="Q88" s="43"/>
      <c r="R88" s="43"/>
      <c r="S88" s="46"/>
      <c r="T88" s="43"/>
      <c r="U88" s="43"/>
      <c r="V88" s="77"/>
      <c r="W88" s="43"/>
      <c r="X88" s="43"/>
      <c r="Y88" s="43"/>
      <c r="Z88" s="43"/>
      <c r="AA88" s="43"/>
      <c r="AB88" s="7"/>
      <c r="AC88" s="7"/>
      <c r="AD88" s="7"/>
      <c r="AE88" s="7"/>
      <c r="AF88" s="7"/>
      <c r="AG88" s="4">
        <v>0</v>
      </c>
    </row>
    <row r="89" spans="1:33" s="4" customFormat="1" ht="18.75" hidden="1" customHeight="1">
      <c r="A89" s="805"/>
      <c r="B89" s="43"/>
      <c r="C89" s="46"/>
      <c r="D89" s="23"/>
      <c r="E89" s="172" t="str">
        <f>FHD_NUM_P_51</f>
        <v/>
      </c>
      <c r="F89" s="29" t="str">
        <f>FHD_P_51</f>
        <v/>
      </c>
      <c r="G89" s="29" t="s">
        <v>584</v>
      </c>
      <c r="H89" s="327"/>
      <c r="I89" s="189"/>
      <c r="J89" s="327"/>
      <c r="K89" s="29" t="str">
        <f>FHD_NOTE_P_51</f>
        <v/>
      </c>
      <c r="L89" s="170"/>
      <c r="M89" s="46"/>
      <c r="N89" s="46"/>
      <c r="O89" s="43"/>
      <c r="P89" s="43"/>
      <c r="Q89" s="43"/>
      <c r="R89" s="43"/>
      <c r="S89" s="46"/>
      <c r="T89" s="43"/>
      <c r="U89" s="43"/>
      <c r="V89" s="77"/>
      <c r="W89" s="43"/>
      <c r="X89" s="43"/>
      <c r="Y89" s="43"/>
      <c r="Z89" s="43"/>
      <c r="AA89" s="43"/>
      <c r="AB89" s="7"/>
      <c r="AC89" s="7"/>
      <c r="AD89" s="7"/>
      <c r="AE89" s="7"/>
      <c r="AF89" s="7"/>
      <c r="AG89" s="4">
        <v>0</v>
      </c>
    </row>
    <row r="90" spans="1:33" s="4" customFormat="1" ht="18.75" hidden="1" customHeight="1">
      <c r="A90" s="805"/>
      <c r="B90" s="43"/>
      <c r="C90" s="46"/>
      <c r="D90" s="23"/>
      <c r="E90" s="172" t="str">
        <f>FHD_NUM_P_52</f>
        <v/>
      </c>
      <c r="F90" s="29" t="str">
        <f>FHD_P_52</f>
        <v/>
      </c>
      <c r="G90" s="29" t="s">
        <v>561</v>
      </c>
      <c r="H90" s="326"/>
      <c r="I90" s="176"/>
      <c r="J90" s="326"/>
      <c r="K90" s="29" t="str">
        <f>FHD_NOTE_P_52</f>
        <v/>
      </c>
      <c r="L90" s="170"/>
      <c r="M90" s="46"/>
      <c r="N90" s="46"/>
      <c r="O90" s="43"/>
      <c r="P90" s="43"/>
      <c r="Q90" s="43"/>
      <c r="R90" s="43"/>
      <c r="S90" s="46"/>
      <c r="T90" s="43"/>
      <c r="U90" s="43"/>
      <c r="V90" s="77"/>
      <c r="W90" s="43"/>
      <c r="X90" s="43"/>
      <c r="Y90" s="43"/>
      <c r="Z90" s="43"/>
      <c r="AA90" s="43"/>
      <c r="AB90" s="7"/>
      <c r="AC90" s="7"/>
      <c r="AD90" s="7"/>
      <c r="AE90" s="7"/>
      <c r="AF90" s="7"/>
      <c r="AG90" s="4">
        <v>0</v>
      </c>
    </row>
    <row r="91" spans="1:33" s="43" customFormat="1" ht="18.75" hidden="1" customHeight="1">
      <c r="A91" s="805" t="s">
        <v>585</v>
      </c>
      <c r="C91" s="46"/>
      <c r="D91" s="23"/>
      <c r="E91" s="172" t="str">
        <f>FHD_NUM_P_53</f>
        <v/>
      </c>
      <c r="F91" s="29" t="str">
        <f>FHD_P_53</f>
        <v/>
      </c>
      <c r="G91" s="29" t="s">
        <v>584</v>
      </c>
      <c r="H91" s="327"/>
      <c r="I91" s="189"/>
      <c r="J91" s="327"/>
      <c r="K91" s="29" t="str">
        <f>FHD_NOTE_P_53</f>
        <v/>
      </c>
      <c r="L91" s="170"/>
      <c r="M91" s="46"/>
      <c r="N91" s="46"/>
      <c r="S91" s="46"/>
      <c r="V91" s="77"/>
      <c r="AB91" s="7"/>
      <c r="AC91" s="7"/>
      <c r="AD91" s="7"/>
      <c r="AE91" s="7"/>
      <c r="AF91" s="7"/>
      <c r="AG91" s="43">
        <v>0</v>
      </c>
    </row>
    <row r="92" spans="1:33" s="43" customFormat="1" ht="18.75" hidden="1" customHeight="1">
      <c r="A92" s="805"/>
      <c r="C92" s="46"/>
      <c r="D92" s="23"/>
      <c r="E92" s="172" t="str">
        <f>FHD_NUM_P_54</f>
        <v/>
      </c>
      <c r="F92" s="29" t="str">
        <f>FHD_P_54</f>
        <v/>
      </c>
      <c r="G92" s="29" t="s">
        <v>584</v>
      </c>
      <c r="H92" s="327"/>
      <c r="I92" s="189"/>
      <c r="J92" s="327"/>
      <c r="K92" s="29" t="str">
        <f>FHD_NOTE_P_54</f>
        <v/>
      </c>
      <c r="L92" s="170"/>
      <c r="M92" s="46"/>
      <c r="N92" s="46"/>
      <c r="S92" s="46"/>
      <c r="V92" s="77"/>
      <c r="AB92" s="7"/>
      <c r="AC92" s="7"/>
      <c r="AD92" s="7"/>
      <c r="AE92" s="7"/>
      <c r="AF92" s="7"/>
      <c r="AG92" s="43">
        <v>0</v>
      </c>
    </row>
    <row r="93" spans="1:33" s="43" customFormat="1" ht="18.75" hidden="1" customHeight="1">
      <c r="A93" s="805"/>
      <c r="C93" s="46"/>
      <c r="D93" s="188"/>
      <c r="E93" s="172" t="str">
        <f>FHD_NUM_P_55</f>
        <v/>
      </c>
      <c r="F93" s="29" t="str">
        <f>FHD_P_55</f>
        <v/>
      </c>
      <c r="G93" s="116"/>
      <c r="H93" s="327"/>
      <c r="I93" s="189"/>
      <c r="J93" s="327"/>
      <c r="K93" s="29" t="str">
        <f>FHD_NOTE_P_55</f>
        <v/>
      </c>
      <c r="L93" s="170"/>
      <c r="M93" s="46"/>
      <c r="N93" s="46"/>
      <c r="S93" s="46"/>
      <c r="V93" s="77"/>
      <c r="AB93" s="7"/>
      <c r="AC93" s="7"/>
      <c r="AD93" s="7"/>
      <c r="AE93" s="7"/>
      <c r="AF93" s="7"/>
      <c r="AG93" s="43">
        <v>0</v>
      </c>
    </row>
    <row r="94" spans="1:33" s="43" customFormat="1" ht="18.75" hidden="1" customHeight="1">
      <c r="A94" s="805"/>
      <c r="C94" s="46"/>
      <c r="D94" s="23"/>
      <c r="E94" s="172" t="str">
        <f>FHD_NUM_P_56</f>
        <v/>
      </c>
      <c r="F94" s="29" t="str">
        <f>FHD_P_56</f>
        <v/>
      </c>
      <c r="G94" s="29" t="s">
        <v>586</v>
      </c>
      <c r="H94" s="327"/>
      <c r="I94" s="189"/>
      <c r="J94" s="327"/>
      <c r="K94" s="29" t="str">
        <f>FHD_NOTE_P_56</f>
        <v/>
      </c>
      <c r="L94" s="170"/>
      <c r="M94" s="46"/>
      <c r="N94" s="46"/>
      <c r="S94" s="46"/>
      <c r="V94" s="77"/>
      <c r="AB94" s="7"/>
      <c r="AC94" s="7"/>
      <c r="AD94" s="7"/>
      <c r="AE94" s="7"/>
      <c r="AF94" s="7"/>
      <c r="AG94" s="43">
        <v>0</v>
      </c>
    </row>
    <row r="95" spans="1:33" s="4" customFormat="1" ht="18.75" hidden="1" customHeight="1">
      <c r="A95" s="805"/>
      <c r="B95" s="43"/>
      <c r="C95" s="46"/>
      <c r="D95" s="23"/>
      <c r="E95" s="172" t="str">
        <f>FHD_NUM_P_57</f>
        <v/>
      </c>
      <c r="F95" s="29" t="str">
        <f>FHD_P_57</f>
        <v/>
      </c>
      <c r="G95" s="29" t="s">
        <v>561</v>
      </c>
      <c r="H95" s="326"/>
      <c r="I95" s="176"/>
      <c r="J95" s="326"/>
      <c r="K95" s="29" t="str">
        <f>FHD_NOTE_P_57</f>
        <v/>
      </c>
      <c r="L95" s="170"/>
      <c r="M95" s="46"/>
      <c r="N95" s="46"/>
      <c r="O95" s="43"/>
      <c r="P95" s="43"/>
      <c r="Q95" s="43"/>
      <c r="R95" s="43"/>
      <c r="S95" s="46"/>
      <c r="T95" s="43"/>
      <c r="U95" s="43"/>
      <c r="V95" s="77"/>
      <c r="W95" s="43"/>
      <c r="X95" s="43"/>
      <c r="Y95" s="43"/>
      <c r="Z95" s="43"/>
      <c r="AA95" s="43"/>
      <c r="AB95" s="7"/>
      <c r="AC95" s="7"/>
      <c r="AD95" s="7"/>
      <c r="AE95" s="7"/>
      <c r="AF95" s="7"/>
      <c r="AG95" s="4">
        <v>0</v>
      </c>
    </row>
    <row r="96" spans="1:33" ht="18.75" hidden="1" customHeight="1">
      <c r="A96" s="805" t="s">
        <v>587</v>
      </c>
      <c r="D96" s="23"/>
      <c r="E96" s="172" t="str">
        <f>FHD_NUM_P_58</f>
        <v/>
      </c>
      <c r="F96" s="29" t="str">
        <f>FHD_P_58</f>
        <v/>
      </c>
      <c r="G96" s="29" t="s">
        <v>584</v>
      </c>
      <c r="H96" s="327"/>
      <c r="I96" s="189"/>
      <c r="J96" s="327"/>
      <c r="K96" s="29" t="str">
        <f>FHD_NOTE_P_58</f>
        <v/>
      </c>
      <c r="L96" s="170"/>
      <c r="AG96" s="4">
        <v>0</v>
      </c>
    </row>
    <row r="97" spans="1:33" ht="18.75" hidden="1" customHeight="1">
      <c r="A97" s="805"/>
      <c r="D97" s="23"/>
      <c r="E97" s="172" t="str">
        <f>FHD_NUM_P_59</f>
        <v/>
      </c>
      <c r="F97" s="29" t="str">
        <f>FHD_P_59</f>
        <v/>
      </c>
      <c r="G97" s="29" t="s">
        <v>584</v>
      </c>
      <c r="H97" s="327"/>
      <c r="I97" s="189"/>
      <c r="J97" s="327"/>
      <c r="K97" s="29" t="str">
        <f>FHD_NOTE_P_59</f>
        <v/>
      </c>
      <c r="L97" s="170"/>
      <c r="AG97" s="4">
        <v>0</v>
      </c>
    </row>
    <row r="98" spans="1:33" ht="18.75" hidden="1" customHeight="1">
      <c r="A98" s="805"/>
      <c r="D98" s="23"/>
      <c r="E98" s="172" t="str">
        <f>FHD_NUM_P_60</f>
        <v/>
      </c>
      <c r="F98" s="29" t="str">
        <f>FHD_P_60</f>
        <v/>
      </c>
      <c r="G98" s="29" t="s">
        <v>584</v>
      </c>
      <c r="H98" s="327"/>
      <c r="I98" s="189"/>
      <c r="J98" s="327"/>
      <c r="K98" s="29" t="str">
        <f>FHD_NOTE_P_60</f>
        <v/>
      </c>
      <c r="L98" s="170"/>
      <c r="AG98" s="4">
        <v>0</v>
      </c>
    </row>
    <row r="99" spans="1:33" s="43" customFormat="1" ht="18.75" customHeight="1">
      <c r="A99" s="805" t="s">
        <v>588</v>
      </c>
      <c r="C99" s="46"/>
      <c r="D99" s="23"/>
      <c r="E99" s="172" t="str">
        <f>FHD_NUM_P_61</f>
        <v>7</v>
      </c>
      <c r="F99" s="29" t="str">
        <f>FHD_P_61</f>
        <v>Установленная тепловая мощность объектов основных фондов, используемых для теплоснабжения, в том числе по каждому источнику тепловой энергии</v>
      </c>
      <c r="G99" s="29" t="s">
        <v>559</v>
      </c>
      <c r="H99" s="329"/>
      <c r="I99" s="242"/>
      <c r="J99" s="329"/>
      <c r="K99" s="29" t="str">
        <f>FHD_NOTE_P_61</f>
        <v>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v>
      </c>
      <c r="L99" s="170"/>
      <c r="M99" s="46"/>
      <c r="N99" s="46"/>
      <c r="S99" s="46"/>
      <c r="V99" s="77"/>
      <c r="AB99" s="7"/>
      <c r="AC99" s="7"/>
      <c r="AD99" s="7"/>
      <c r="AE99" s="7"/>
      <c r="AF99" s="7"/>
      <c r="AG99" s="43">
        <v>0</v>
      </c>
    </row>
    <row r="100" spans="1:33" s="46" customFormat="1" ht="0.75" customHeight="1">
      <c r="A100" s="805"/>
      <c r="D100" s="160"/>
      <c r="E100" s="174" t="str">
        <f>E99&amp;".0"</f>
        <v>7.0</v>
      </c>
      <c r="F100" s="334"/>
      <c r="G100" s="334"/>
      <c r="H100" s="332"/>
      <c r="I100" s="332"/>
      <c r="J100" s="332"/>
      <c r="K100" s="333"/>
      <c r="AG100" s="46">
        <v>0</v>
      </c>
    </row>
    <row r="101" spans="1:33" ht="15" customHeight="1">
      <c r="A101" s="805"/>
      <c r="D101" s="16"/>
      <c r="E101" s="324"/>
      <c r="F101" s="325" t="s">
        <v>589</v>
      </c>
      <c r="G101" s="185"/>
      <c r="H101" s="186"/>
      <c r="I101" s="186"/>
      <c r="J101" s="186"/>
      <c r="K101" s="101" t="s">
        <v>590</v>
      </c>
      <c r="L101" s="170"/>
      <c r="AG101" s="4">
        <v>0</v>
      </c>
    </row>
    <row r="102" spans="1:33" s="43" customFormat="1" ht="18.75" customHeight="1">
      <c r="A102" s="805"/>
      <c r="C102" s="46"/>
      <c r="D102" s="23"/>
      <c r="E102" s="172" t="str">
        <f>FHD_NUM_P_62</f>
        <v>8</v>
      </c>
      <c r="F102" s="29" t="str">
        <f>FHD_P_62</f>
        <v>Тепловая нагрузка по договорам, заключенным в рамках осуществления регулируемых видов деятельности</v>
      </c>
      <c r="G102" s="169" t="s">
        <v>559</v>
      </c>
      <c r="H102" s="176"/>
      <c r="I102" s="176"/>
      <c r="J102" s="176"/>
      <c r="K102" s="29" t="str">
        <f>FHD_NOTE_P_62</f>
        <v>Регулируемыми организациями указывается информация по договорам, заключенным в рамках осуществления регулируемых видов деятельности</v>
      </c>
      <c r="L102" s="170"/>
      <c r="M102" s="46"/>
      <c r="N102" s="46"/>
      <c r="S102" s="46"/>
      <c r="V102" s="77"/>
      <c r="AB102" s="7"/>
      <c r="AC102" s="7"/>
      <c r="AD102" s="7"/>
      <c r="AE102" s="7"/>
      <c r="AF102" s="7"/>
      <c r="AG102" s="43">
        <v>0</v>
      </c>
    </row>
    <row r="103" spans="1:33" s="43" customFormat="1" ht="18.75" customHeight="1">
      <c r="A103" s="805"/>
      <c r="C103" s="46"/>
      <c r="D103" s="23"/>
      <c r="E103" s="172" t="str">
        <f>FHD_NUM_P_63</f>
        <v>9</v>
      </c>
      <c r="F103" s="29" t="str">
        <f>FHD_P_63</f>
        <v>Объем вырабатываемой регулируемой организацией тепловой энергии в рамках осуществления регулируемых видов деятельности</v>
      </c>
      <c r="G103" s="169" t="s">
        <v>586</v>
      </c>
      <c r="H103" s="189"/>
      <c r="I103" s="189"/>
      <c r="J103" s="189"/>
      <c r="K103" s="29" t="str">
        <f>FHD_NOTE_P_63</f>
        <v>Регулируемыми организациями указывается информация тепловой энергии, выработанной в рамках осуществления регулируемых видов деятельности.</v>
      </c>
      <c r="L103" s="170"/>
      <c r="M103" s="46"/>
      <c r="N103" s="46"/>
      <c r="S103" s="46"/>
      <c r="V103" s="77"/>
      <c r="AB103" s="7"/>
      <c r="AC103" s="7"/>
      <c r="AD103" s="7"/>
      <c r="AE103" s="7"/>
      <c r="AF103" s="7"/>
      <c r="AG103" s="43">
        <v>0</v>
      </c>
    </row>
    <row r="104" spans="1:33" s="43" customFormat="1" ht="18.75" customHeight="1">
      <c r="A104" s="805"/>
      <c r="C104" s="46" t="s">
        <v>591</v>
      </c>
      <c r="D104" s="23"/>
      <c r="E104" s="172" t="str">
        <f>FHD_NUM_P_64</f>
        <v>9.1</v>
      </c>
      <c r="F104" s="29" t="str">
        <f>FHD_P_64</f>
        <v>Объем приобретаемой регулируемой организацией тепловой энергии в рамках осуществления регулируемых видов деятельности</v>
      </c>
      <c r="G104" s="169" t="s">
        <v>586</v>
      </c>
      <c r="H104" s="171"/>
      <c r="I104" s="171"/>
      <c r="J104" s="171"/>
      <c r="K104" s="29" t="str">
        <f>FHD_NOTE_P_64</f>
        <v>Информация указывается только едиными теплоснабжающими организациями.</v>
      </c>
      <c r="L104" s="170"/>
      <c r="M104" s="46"/>
      <c r="N104" s="46"/>
      <c r="S104" s="46"/>
      <c r="V104" s="77"/>
      <c r="AB104" s="7"/>
      <c r="AC104" s="7"/>
      <c r="AD104" s="7"/>
      <c r="AE104" s="7"/>
      <c r="AF104" s="7"/>
      <c r="AG104" s="43">
        <v>0</v>
      </c>
    </row>
    <row r="105" spans="1:33" s="43" customFormat="1" ht="18.75" customHeight="1">
      <c r="A105" s="805"/>
      <c r="C105" s="46"/>
      <c r="D105" s="23"/>
      <c r="E105" s="172" t="str">
        <f>FHD_NUM_P_65</f>
        <v>10</v>
      </c>
      <c r="F105" s="29" t="str">
        <f>FHD_P_65</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G105" s="169" t="s">
        <v>586</v>
      </c>
      <c r="H105" s="189"/>
      <c r="I105" s="189"/>
      <c r="J105" s="189"/>
      <c r="K105" s="29" t="str">
        <f>FHD_NOTE_P_65</f>
        <v>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L105" s="170"/>
      <c r="M105" s="46"/>
      <c r="N105" s="46"/>
      <c r="S105" s="46"/>
      <c r="V105" s="77"/>
      <c r="AB105" s="7"/>
      <c r="AC105" s="7"/>
      <c r="AD105" s="7"/>
      <c r="AE105" s="7"/>
      <c r="AF105" s="7"/>
      <c r="AG105" s="43">
        <v>0</v>
      </c>
    </row>
    <row r="106" spans="1:33" s="43" customFormat="1" ht="18.75" customHeight="1">
      <c r="A106" s="805"/>
      <c r="C106" s="46"/>
      <c r="D106" s="23"/>
      <c r="E106" s="172" t="str">
        <f>FHD_NUM_P_66</f>
        <v>10.1</v>
      </c>
      <c r="F106" s="29" t="str">
        <f>FHD_P_66</f>
        <v xml:space="preserve">По приборам учёта </v>
      </c>
      <c r="G106" s="169" t="s">
        <v>586</v>
      </c>
      <c r="H106" s="189"/>
      <c r="I106" s="189"/>
      <c r="J106" s="189"/>
      <c r="K106" s="29" t="str">
        <f>FHD_NOTE_P_66</f>
        <v/>
      </c>
      <c r="L106" s="170"/>
      <c r="M106" s="46"/>
      <c r="N106" s="46"/>
      <c r="S106" s="46"/>
      <c r="V106" s="77"/>
      <c r="AB106" s="7"/>
      <c r="AC106" s="7"/>
      <c r="AD106" s="7"/>
      <c r="AE106" s="7"/>
      <c r="AF106" s="7"/>
      <c r="AG106" s="43">
        <v>0</v>
      </c>
    </row>
    <row r="107" spans="1:33" s="43" customFormat="1" ht="18.75" customHeight="1">
      <c r="A107" s="805"/>
      <c r="C107" s="46"/>
      <c r="D107" s="23"/>
      <c r="E107" s="172" t="str">
        <f>FHD_NUM_P_67</f>
        <v>10.1.1</v>
      </c>
      <c r="F107" s="29" t="str">
        <f>FHD_P_67</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G107" s="169" t="s">
        <v>586</v>
      </c>
      <c r="H107" s="189"/>
      <c r="I107" s="189"/>
      <c r="J107" s="189"/>
      <c r="K107" s="29" t="str">
        <f>FHD_NOTE_P_67</f>
        <v/>
      </c>
      <c r="L107" s="170"/>
      <c r="M107" s="46"/>
      <c r="N107" s="46"/>
      <c r="S107" s="46"/>
      <c r="V107" s="77"/>
      <c r="AB107" s="7"/>
      <c r="AC107" s="7"/>
      <c r="AD107" s="7"/>
      <c r="AE107" s="7"/>
      <c r="AF107" s="7"/>
      <c r="AG107" s="43">
        <v>0</v>
      </c>
    </row>
    <row r="108" spans="1:33" s="43" customFormat="1" ht="18.75" customHeight="1">
      <c r="A108" s="805"/>
      <c r="C108" s="46"/>
      <c r="D108" s="23"/>
      <c r="E108" s="172" t="str">
        <f>FHD_NUM_P_68</f>
        <v>10.2</v>
      </c>
      <c r="F108" s="29" t="str">
        <f>FHD_P_68</f>
        <v>Расчётным путём</v>
      </c>
      <c r="G108" s="169" t="s">
        <v>586</v>
      </c>
      <c r="H108" s="189"/>
      <c r="I108" s="189"/>
      <c r="J108" s="189"/>
      <c r="K108" s="29" t="str">
        <f>FHD_NOTE_P_68</f>
        <v/>
      </c>
      <c r="L108" s="170"/>
      <c r="M108" s="46"/>
      <c r="N108" s="46"/>
      <c r="S108" s="46"/>
      <c r="V108" s="77"/>
      <c r="AB108" s="7"/>
      <c r="AC108" s="7"/>
      <c r="AD108" s="7"/>
      <c r="AE108" s="7"/>
      <c r="AF108" s="7"/>
      <c r="AG108" s="43">
        <v>0</v>
      </c>
    </row>
    <row r="109" spans="1:33" s="43" customFormat="1" ht="18.75" customHeight="1">
      <c r="A109" s="805"/>
      <c r="C109" s="46"/>
      <c r="D109" s="23"/>
      <c r="E109" s="172" t="str">
        <f>FHD_NUM_P_69</f>
        <v>10.3</v>
      </c>
      <c r="F109" s="29" t="str">
        <f>FHD_P_69</f>
        <v>По нормативам потребления коммунальных услуг и нормативам потребления коммунальных ресурсов</v>
      </c>
      <c r="G109" s="169" t="s">
        <v>586</v>
      </c>
      <c r="H109" s="189"/>
      <c r="I109" s="189"/>
      <c r="J109" s="189"/>
      <c r="K109" s="29" t="str">
        <f>FHD_NOTE_P_69</f>
        <v/>
      </c>
      <c r="L109" s="170"/>
      <c r="M109" s="46"/>
      <c r="N109" s="46"/>
      <c r="S109" s="46"/>
      <c r="V109" s="77"/>
      <c r="AB109" s="7"/>
      <c r="AC109" s="7"/>
      <c r="AD109" s="7"/>
      <c r="AE109" s="7"/>
      <c r="AF109" s="7"/>
      <c r="AG109" s="43">
        <v>0</v>
      </c>
    </row>
    <row r="110" spans="1:33" s="43" customFormat="1" ht="22.5" customHeight="1">
      <c r="A110" s="805"/>
      <c r="C110" s="46"/>
      <c r="D110" s="23"/>
      <c r="E110" s="172" t="str">
        <f>FHD_NUM_P_70</f>
        <v>11</v>
      </c>
      <c r="F110" s="29" t="str">
        <f>FHD_P_70</f>
        <v>Нормативы технологических потерь при передаче тепловой энергии, теплоносителя по тепловым сетям, утвержденные уполномоченным органом</v>
      </c>
      <c r="G110" s="169" t="s">
        <v>592</v>
      </c>
      <c r="H110" s="176"/>
      <c r="I110" s="176"/>
      <c r="J110" s="176"/>
      <c r="K110" s="29" t="str">
        <f>FHD_NOTE_P_70</f>
        <v/>
      </c>
      <c r="L110" s="170"/>
      <c r="M110" s="46"/>
      <c r="N110" s="46"/>
      <c r="S110" s="46"/>
      <c r="V110" s="77"/>
      <c r="AB110" s="7"/>
      <c r="AC110" s="7"/>
      <c r="AD110" s="7"/>
      <c r="AE110" s="7"/>
      <c r="AF110" s="7"/>
      <c r="AG110" s="43">
        <v>0</v>
      </c>
    </row>
    <row r="111" spans="1:33" s="43" customFormat="1" ht="22.5" customHeight="1">
      <c r="A111" s="805"/>
      <c r="C111" s="46"/>
      <c r="D111" s="23"/>
      <c r="E111" s="172" t="str">
        <f>FHD_NUM_P_71</f>
        <v>12</v>
      </c>
      <c r="F111" s="29" t="str">
        <f>FHD_P_71</f>
        <v>Фактический объем потерь при передаче тепловой энергии</v>
      </c>
      <c r="G111" s="169" t="s">
        <v>592</v>
      </c>
      <c r="H111" s="176"/>
      <c r="I111" s="176"/>
      <c r="J111" s="176"/>
      <c r="K111" s="29" t="str">
        <f>FHD_NOTE_P_71</f>
        <v/>
      </c>
      <c r="L111" s="170"/>
      <c r="M111" s="46"/>
      <c r="N111" s="46"/>
      <c r="S111" s="46"/>
      <c r="V111" s="77"/>
      <c r="AB111" s="7"/>
      <c r="AC111" s="7"/>
      <c r="AD111" s="7"/>
      <c r="AE111" s="7"/>
      <c r="AF111" s="7"/>
      <c r="AG111" s="43">
        <v>0</v>
      </c>
    </row>
    <row r="112" spans="1:33" ht="19.899999999999999" customHeight="1">
      <c r="D112" s="23"/>
      <c r="E112" s="172" t="str">
        <f>FHD_NUM_P_72</f>
        <v>13</v>
      </c>
      <c r="F112" s="29" t="str">
        <f>FHD_P_72</f>
        <v>Среднесписочная численность основного производственного персонала</v>
      </c>
      <c r="G112" s="169" t="s">
        <v>593</v>
      </c>
      <c r="H112" s="189"/>
      <c r="I112" s="189"/>
      <c r="J112" s="189"/>
      <c r="K112" s="29" t="str">
        <f>FHD_NOTE_P_72</f>
        <v/>
      </c>
      <c r="L112" s="170"/>
      <c r="AG112" s="4">
        <v>19</v>
      </c>
    </row>
    <row r="113" spans="1:33" ht="18.75" customHeight="1">
      <c r="A113" s="331" t="s">
        <v>594</v>
      </c>
      <c r="D113" s="23"/>
      <c r="E113" s="172" t="str">
        <f>FHD_NUM_P_73</f>
        <v>14</v>
      </c>
      <c r="F113" s="29" t="str">
        <f>FHD_P_73</f>
        <v>Среднесписочная численность административно-управленческого персонала</v>
      </c>
      <c r="G113" s="245" t="s">
        <v>593</v>
      </c>
      <c r="H113" s="323"/>
      <c r="I113" s="323"/>
      <c r="J113" s="323"/>
      <c r="K113" s="29" t="str">
        <f>FHD_NOTE_P_73</f>
        <v/>
      </c>
      <c r="L113" s="170"/>
      <c r="AG113" s="4">
        <v>0</v>
      </c>
    </row>
    <row r="114" spans="1:33" ht="33.75" hidden="1" customHeight="1">
      <c r="A114" s="331" t="s">
        <v>595</v>
      </c>
      <c r="D114" s="23"/>
      <c r="E114" s="172" t="str">
        <f>FHD_NUM_P_74</f>
        <v/>
      </c>
      <c r="F114" s="29" t="str">
        <f>FHD_P_74</f>
        <v/>
      </c>
      <c r="G114" s="169" t="s">
        <v>596</v>
      </c>
      <c r="H114" s="189"/>
      <c r="I114" s="189"/>
      <c r="J114" s="189"/>
      <c r="K114" s="29" t="str">
        <f>FHD_NOTE_P_74</f>
        <v/>
      </c>
      <c r="L114" s="170"/>
      <c r="AG114" s="4">
        <v>0</v>
      </c>
    </row>
    <row r="115" spans="1:33" s="4" customFormat="1" ht="18.75" hidden="1" customHeight="1">
      <c r="A115" s="805" t="s">
        <v>597</v>
      </c>
      <c r="B115" s="43"/>
      <c r="C115" s="46"/>
      <c r="D115" s="23"/>
      <c r="E115" s="172" t="str">
        <f>FHD_NUM_P_75</f>
        <v/>
      </c>
      <c r="F115" s="29" t="str">
        <f>FHD_P_75</f>
        <v/>
      </c>
      <c r="G115" s="169" t="s">
        <v>561</v>
      </c>
      <c r="H115" s="176"/>
      <c r="I115" s="176"/>
      <c r="J115" s="176"/>
      <c r="K115" s="29" t="str">
        <f>FHD_NOTE_P_75</f>
        <v/>
      </c>
      <c r="L115" s="170"/>
      <c r="M115" s="46"/>
      <c r="N115" s="46"/>
      <c r="O115" s="43"/>
      <c r="P115" s="43"/>
      <c r="Q115" s="43"/>
      <c r="R115" s="43"/>
      <c r="S115" s="46"/>
      <c r="T115" s="43"/>
      <c r="U115" s="43"/>
      <c r="V115" s="77"/>
      <c r="W115" s="43"/>
      <c r="X115" s="43"/>
      <c r="Y115" s="43"/>
      <c r="Z115" s="43"/>
      <c r="AA115" s="43"/>
      <c r="AB115" s="7"/>
      <c r="AC115" s="7"/>
      <c r="AD115" s="7"/>
      <c r="AE115" s="7"/>
      <c r="AF115" s="7"/>
      <c r="AG115" s="4">
        <v>0</v>
      </c>
    </row>
    <row r="116" spans="1:33" s="4" customFormat="1" ht="18.75" hidden="1" customHeight="1">
      <c r="A116" s="805"/>
      <c r="B116" s="43"/>
      <c r="C116" s="46"/>
      <c r="D116" s="23"/>
      <c r="E116" s="172" t="str">
        <f>FHD_NUM_P_76</f>
        <v/>
      </c>
      <c r="F116" s="29" t="str">
        <f>FHD_P_76</f>
        <v/>
      </c>
      <c r="G116" s="169" t="s">
        <v>561</v>
      </c>
      <c r="H116" s="176"/>
      <c r="I116" s="176"/>
      <c r="J116" s="176"/>
      <c r="K116" s="29" t="str">
        <f>FHD_NOTE_P_76</f>
        <v/>
      </c>
      <c r="L116" s="170"/>
      <c r="M116" s="46"/>
      <c r="N116" s="46"/>
      <c r="O116" s="43"/>
      <c r="P116" s="43"/>
      <c r="Q116" s="43"/>
      <c r="R116" s="43"/>
      <c r="S116" s="46"/>
      <c r="T116" s="43"/>
      <c r="U116" s="43"/>
      <c r="V116" s="77"/>
      <c r="W116" s="43"/>
      <c r="X116" s="43"/>
      <c r="Y116" s="43"/>
      <c r="Z116" s="43"/>
      <c r="AA116" s="43"/>
      <c r="AB116" s="7"/>
      <c r="AC116" s="7"/>
      <c r="AD116" s="7"/>
      <c r="AE116" s="7"/>
      <c r="AF116" s="7"/>
      <c r="AG116" s="4">
        <v>0</v>
      </c>
    </row>
    <row r="117" spans="1:33" s="4" customFormat="1" ht="18.75" hidden="1" customHeight="1">
      <c r="A117" s="805"/>
      <c r="B117" s="43"/>
      <c r="C117" s="46"/>
      <c r="D117" s="23"/>
      <c r="E117" s="172" t="str">
        <f>FHD_NUM_P_77</f>
        <v/>
      </c>
      <c r="F117" s="29" t="str">
        <f>FHD_P_77</f>
        <v/>
      </c>
      <c r="G117" s="169" t="s">
        <v>561</v>
      </c>
      <c r="H117" s="176"/>
      <c r="I117" s="176"/>
      <c r="J117" s="176"/>
      <c r="K117" s="29" t="str">
        <f>FHD_NOTE_P_77</f>
        <v/>
      </c>
      <c r="L117" s="170"/>
      <c r="M117" s="46"/>
      <c r="N117" s="46"/>
      <c r="O117" s="43"/>
      <c r="P117" s="43"/>
      <c r="Q117" s="43"/>
      <c r="R117" s="43"/>
      <c r="S117" s="46"/>
      <c r="T117" s="43"/>
      <c r="U117" s="43"/>
      <c r="V117" s="77"/>
      <c r="W117" s="43"/>
      <c r="X117" s="43"/>
      <c r="Y117" s="43"/>
      <c r="Z117" s="43"/>
      <c r="AA117" s="43"/>
      <c r="AB117" s="7"/>
      <c r="AC117" s="7"/>
      <c r="AD117" s="7"/>
      <c r="AE117" s="7"/>
      <c r="AF117" s="7"/>
      <c r="AG117" s="4">
        <v>0</v>
      </c>
    </row>
    <row r="118" spans="1:33" s="46" customFormat="1" ht="0.75" hidden="1" customHeight="1">
      <c r="A118" s="805"/>
      <c r="D118" s="160"/>
      <c r="E118" s="174" t="str">
        <f>E117&amp;".0"</f>
        <v>.0</v>
      </c>
      <c r="F118" s="263"/>
      <c r="G118" s="333"/>
      <c r="H118" s="332"/>
      <c r="I118" s="332"/>
      <c r="J118" s="332"/>
      <c r="K118" s="333"/>
      <c r="AG118" s="46">
        <v>0</v>
      </c>
    </row>
    <row r="119" spans="1:33" s="4" customFormat="1" ht="15" hidden="1" customHeight="1">
      <c r="A119" s="805"/>
      <c r="B119" s="43"/>
      <c r="C119" s="46"/>
      <c r="D119" s="16"/>
      <c r="E119" s="324"/>
      <c r="F119" s="325" t="s">
        <v>598</v>
      </c>
      <c r="G119" s="185"/>
      <c r="H119" s="186"/>
      <c r="I119" s="186"/>
      <c r="J119" s="186"/>
      <c r="K119" s="101" t="s">
        <v>599</v>
      </c>
      <c r="L119" s="170"/>
      <c r="M119" s="46"/>
      <c r="N119" s="46"/>
      <c r="O119" s="43"/>
      <c r="P119" s="43"/>
      <c r="Q119" s="43"/>
      <c r="R119" s="43"/>
      <c r="S119" s="46"/>
      <c r="T119" s="43"/>
      <c r="U119" s="43"/>
      <c r="V119" s="77"/>
      <c r="W119" s="43"/>
      <c r="X119" s="43"/>
      <c r="Y119" s="43"/>
      <c r="Z119" s="43"/>
      <c r="AA119" s="43"/>
      <c r="AB119" s="7"/>
      <c r="AC119" s="7"/>
      <c r="AD119" s="7"/>
      <c r="AE119" s="7"/>
      <c r="AF119" s="7"/>
      <c r="AG119" s="4">
        <v>0</v>
      </c>
    </row>
    <row r="120" spans="1:33" ht="22.5" customHeight="1">
      <c r="A120" s="805" t="s">
        <v>600</v>
      </c>
      <c r="D120" s="23"/>
      <c r="E120" s="172" t="str">
        <f>FHD_NUM_P_78</f>
        <v>15</v>
      </c>
      <c r="F120" s="29" t="str">
        <f>FHD_P_78</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0" s="169" t="s">
        <v>563</v>
      </c>
      <c r="H120" s="189"/>
      <c r="I120" s="189"/>
      <c r="J120" s="189"/>
      <c r="K120" s="29" t="str">
        <f>FHD_NOTE_P_78</f>
        <v/>
      </c>
      <c r="L120" s="170"/>
      <c r="AG120" s="4">
        <v>0</v>
      </c>
    </row>
    <row r="121" spans="1:33" s="46" customFormat="1" ht="0.75" customHeight="1">
      <c r="A121" s="805"/>
      <c r="D121" s="160"/>
      <c r="E121" s="174" t="str">
        <f>E120&amp;".0"</f>
        <v>15.0</v>
      </c>
      <c r="F121" s="263"/>
      <c r="G121" s="333"/>
      <c r="H121" s="332"/>
      <c r="I121" s="332"/>
      <c r="J121" s="332"/>
      <c r="K121" s="333"/>
      <c r="AG121" s="46">
        <v>0</v>
      </c>
    </row>
    <row r="122" spans="1:33" ht="15" customHeight="1">
      <c r="A122" s="805"/>
      <c r="D122" s="16"/>
      <c r="E122" s="184"/>
      <c r="F122" s="37" t="s">
        <v>589</v>
      </c>
      <c r="G122" s="185"/>
      <c r="H122" s="186"/>
      <c r="I122" s="186"/>
      <c r="J122" s="186"/>
      <c r="K122" s="101" t="s">
        <v>601</v>
      </c>
      <c r="L122" s="170"/>
      <c r="AG122" s="4">
        <v>0</v>
      </c>
    </row>
    <row r="123" spans="1:33" ht="22.5" customHeight="1">
      <c r="A123" s="805"/>
      <c r="D123" s="23"/>
      <c r="E123" s="172" t="str">
        <f>FHD_NUM_P_79</f>
        <v>16</v>
      </c>
      <c r="F123" s="29" t="str">
        <f>FHD_P_79</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3" s="29" t="s">
        <v>565</v>
      </c>
      <c r="H123" s="189"/>
      <c r="I123" s="189"/>
      <c r="J123" s="189"/>
      <c r="K123" s="29" t="str">
        <f>FHD_NOTE_P_79</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L123" s="170"/>
      <c r="AG123" s="4">
        <v>0</v>
      </c>
    </row>
    <row r="124" spans="1:33" s="46" customFormat="1" ht="0.75" customHeight="1">
      <c r="A124" s="805"/>
      <c r="D124" s="160"/>
      <c r="E124" s="174" t="str">
        <f>E123&amp;".0"</f>
        <v>16.0</v>
      </c>
      <c r="F124" s="333"/>
      <c r="G124" s="333"/>
      <c r="H124" s="332"/>
      <c r="I124" s="332"/>
      <c r="J124" s="332"/>
      <c r="K124" s="333"/>
      <c r="AG124" s="46">
        <v>0</v>
      </c>
    </row>
    <row r="125" spans="1:33" ht="15" customHeight="1">
      <c r="A125" s="805"/>
      <c r="D125" s="16"/>
      <c r="E125" s="184"/>
      <c r="F125" s="37" t="s">
        <v>589</v>
      </c>
      <c r="G125" s="185"/>
      <c r="H125" s="186"/>
      <c r="I125" s="186"/>
      <c r="J125" s="186"/>
      <c r="K125" s="101" t="s">
        <v>602</v>
      </c>
      <c r="L125" s="170"/>
      <c r="AG125" s="4">
        <v>0</v>
      </c>
    </row>
    <row r="126" spans="1:33" ht="22.5" customHeight="1">
      <c r="A126" s="805"/>
      <c r="D126" s="23"/>
      <c r="E126" s="172" t="str">
        <f>FHD_NUM_P_80</f>
        <v>17</v>
      </c>
      <c r="F126" s="29" t="str">
        <f>FHD_P_80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6" s="29" t="s">
        <v>603</v>
      </c>
      <c r="H126" s="176"/>
      <c r="I126" s="176"/>
      <c r="J126" s="176"/>
      <c r="K126" s="29" t="str">
        <f>FHD_NOTE_P_80</f>
        <v>Регулируемыми организациями указывается информация с по договорам, заключенным в рамках осуществления регулируемой деятельности.</v>
      </c>
      <c r="L126" s="170"/>
      <c r="AG126" s="4">
        <v>0</v>
      </c>
    </row>
    <row r="127" spans="1:33" ht="18.75" customHeight="1">
      <c r="A127" s="805"/>
      <c r="D127" s="23"/>
      <c r="E127" s="172" t="str">
        <f>FHD_NUM_P_81</f>
        <v>18</v>
      </c>
      <c r="F127" s="29" t="str">
        <f>FHD_P_81</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7" s="29" t="s">
        <v>604</v>
      </c>
      <c r="H127" s="176"/>
      <c r="I127" s="176"/>
      <c r="J127" s="176"/>
      <c r="K127" s="29" t="str">
        <f>FHD_NOTE_P_81</f>
        <v>Регулируемыми организациями указывается информация с по договорам, заключенным в рамках осуществления регулируемой деятельности.</v>
      </c>
      <c r="L127" s="170"/>
      <c r="AG127" s="4">
        <v>0</v>
      </c>
    </row>
    <row r="128" spans="1:33" ht="18.75" customHeight="1">
      <c r="A128" s="805"/>
      <c r="C128" s="46" t="s">
        <v>591</v>
      </c>
      <c r="D128" s="23"/>
      <c r="E128" s="172" t="str">
        <f>FHD_NUM_P_82</f>
        <v>19</v>
      </c>
      <c r="F128" s="29" t="str">
        <f>FHD_P_82</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G128" s="29" t="s">
        <v>309</v>
      </c>
      <c r="H128" s="131"/>
      <c r="I128" s="131"/>
      <c r="J128" s="131"/>
      <c r="K128" s="29" t="str">
        <f>FHD_NOTE_P_82</f>
        <v>Указывается ссылка на документ, предварительно загруженный в хранилище файлов ФГИС ЕИАС.</v>
      </c>
      <c r="L128" s="170"/>
      <c r="AG128" s="4">
        <v>0</v>
      </c>
    </row>
    <row r="129" spans="1:33" ht="18.75" customHeight="1">
      <c r="A129" s="805"/>
      <c r="C129" s="46" t="s">
        <v>591</v>
      </c>
      <c r="D129" s="23"/>
      <c r="E129" s="172" t="str">
        <f>FHD_NUM_P_83</f>
        <v>19.1</v>
      </c>
      <c r="F129" s="29" t="str">
        <f>FHD_P_83</f>
        <v>Информация о показателях физического износа объектов теплоснабжения</v>
      </c>
      <c r="G129" s="29" t="s">
        <v>309</v>
      </c>
      <c r="H129" s="131"/>
      <c r="I129" s="131"/>
      <c r="J129" s="131"/>
      <c r="K129" s="29" t="str">
        <f>FHD_NOTE_P_83</f>
        <v>Указывается ссылка на документ, предварительно загруженный в хранилище файлов ФГИС ЕИАС.</v>
      </c>
      <c r="L129" s="170"/>
      <c r="AG129" s="4">
        <v>0</v>
      </c>
    </row>
    <row r="130" spans="1:33" ht="18.75" customHeight="1">
      <c r="A130" s="805"/>
      <c r="C130" s="46" t="s">
        <v>591</v>
      </c>
      <c r="D130" s="23"/>
      <c r="E130" s="172" t="str">
        <f>FHD_NUM_P_84</f>
        <v>19.2</v>
      </c>
      <c r="F130" s="29" t="str">
        <f>FHD_P_84</f>
        <v>Информация о показателях энергетической эффективности объектов теплоснабжения</v>
      </c>
      <c r="G130" s="29" t="s">
        <v>309</v>
      </c>
      <c r="H130" s="131"/>
      <c r="I130" s="131"/>
      <c r="J130" s="131"/>
      <c r="K130" s="29" t="str">
        <f>FHD_NOTE_P_84</f>
        <v>Указывается ссылка на документ, предварительно загруженный в хранилище файлов ФГИС ЕИАС.</v>
      </c>
      <c r="L130" s="170"/>
      <c r="AG130" s="4">
        <v>0</v>
      </c>
    </row>
    <row r="131" spans="1:33" ht="11.45" customHeight="1">
      <c r="D131" s="23"/>
      <c r="AG131" s="4">
        <v>11</v>
      </c>
    </row>
    <row r="132" spans="1:33" ht="13.5" customHeight="1">
      <c r="D132" s="23"/>
      <c r="AG132" s="4">
        <v>13</v>
      </c>
    </row>
    <row r="133" spans="1:33" s="117" customFormat="1" ht="11.45" customHeight="1">
      <c r="A133" s="330"/>
      <c r="B133" s="46"/>
      <c r="C133" s="46"/>
      <c r="F133" s="77"/>
      <c r="G133" s="4"/>
      <c r="H133" s="4"/>
      <c r="I133" s="4"/>
      <c r="J133" s="4"/>
      <c r="L133" s="43"/>
      <c r="M133" s="46"/>
      <c r="N133" s="46"/>
      <c r="O133" s="43"/>
      <c r="P133" s="43"/>
      <c r="Q133" s="43"/>
      <c r="R133" s="43"/>
      <c r="S133" s="46"/>
      <c r="T133" s="43"/>
      <c r="U133" s="43"/>
      <c r="V133" s="77"/>
      <c r="W133" s="43"/>
      <c r="X133" s="43"/>
      <c r="Y133" s="43"/>
      <c r="Z133" s="43"/>
      <c r="AA133" s="43"/>
      <c r="AB133" s="7"/>
      <c r="AC133" s="88"/>
      <c r="AD133" s="88"/>
      <c r="AE133" s="88"/>
      <c r="AF133" s="88"/>
      <c r="AG133" s="117">
        <v>11</v>
      </c>
    </row>
    <row r="134" spans="1:33" s="117" customFormat="1" ht="11.45" customHeight="1">
      <c r="A134" s="330"/>
      <c r="B134" s="46"/>
      <c r="C134" s="46"/>
      <c r="L134" s="43"/>
      <c r="M134" s="46"/>
      <c r="N134" s="46"/>
      <c r="O134" s="43"/>
      <c r="P134" s="43"/>
      <c r="Q134" s="43"/>
      <c r="R134" s="43"/>
      <c r="S134" s="46"/>
      <c r="T134" s="43"/>
      <c r="U134" s="43"/>
      <c r="V134" s="77"/>
      <c r="W134" s="43"/>
      <c r="X134" s="43"/>
      <c r="Y134" s="43"/>
      <c r="Z134" s="43"/>
      <c r="AA134" s="43"/>
      <c r="AB134" s="7"/>
      <c r="AC134" s="88"/>
      <c r="AD134" s="88"/>
      <c r="AE134" s="88"/>
      <c r="AF134" s="88"/>
      <c r="AG134" s="117">
        <v>11</v>
      </c>
    </row>
    <row r="135" spans="1:33" s="117" customFormat="1" ht="11.45" customHeight="1">
      <c r="A135" s="330"/>
      <c r="B135" s="46"/>
      <c r="C135" s="46"/>
      <c r="L135" s="43"/>
      <c r="M135" s="46"/>
      <c r="N135" s="46"/>
      <c r="O135" s="43"/>
      <c r="P135" s="43"/>
      <c r="Q135" s="43"/>
      <c r="R135" s="43"/>
      <c r="S135" s="46"/>
      <c r="T135" s="43"/>
      <c r="U135" s="43"/>
      <c r="V135" s="77"/>
      <c r="W135" s="43"/>
      <c r="X135" s="43"/>
      <c r="Y135" s="43"/>
      <c r="Z135" s="43"/>
      <c r="AA135" s="43"/>
      <c r="AB135" s="7"/>
      <c r="AC135" s="88"/>
      <c r="AD135" s="88"/>
      <c r="AE135" s="88"/>
      <c r="AF135" s="88"/>
      <c r="AG135" s="117">
        <v>11</v>
      </c>
    </row>
    <row r="136" spans="1:33" s="117" customFormat="1" ht="11.45" customHeight="1">
      <c r="A136" s="330"/>
      <c r="B136" s="46"/>
      <c r="C136" s="46"/>
      <c r="H136" s="88" t="str">
        <f>IF(H30-H31&lt;&gt;H72,"WARNING","")</f>
        <v/>
      </c>
      <c r="I136" s="88" t="str">
        <f>IF(I30-I31&lt;&gt;I72,"WARNING","")</f>
        <v/>
      </c>
      <c r="J136" s="88" t="str">
        <f>IF(J30-J31&lt;&gt;J72,"WARNING","")</f>
        <v/>
      </c>
      <c r="L136" s="43"/>
      <c r="M136" s="46"/>
      <c r="N136" s="46"/>
      <c r="O136" s="43"/>
      <c r="P136" s="43"/>
      <c r="Q136" s="43"/>
      <c r="R136" s="43"/>
      <c r="S136" s="46"/>
      <c r="T136" s="43"/>
      <c r="U136" s="43"/>
      <c r="V136" s="77"/>
      <c r="W136" s="43"/>
      <c r="X136" s="43"/>
      <c r="Y136" s="43"/>
      <c r="Z136" s="43"/>
      <c r="AA136" s="43"/>
      <c r="AB136" s="7"/>
      <c r="AC136" s="88"/>
      <c r="AD136" s="88"/>
      <c r="AE136" s="88"/>
      <c r="AF136" s="88"/>
      <c r="AG136" s="117">
        <v>11</v>
      </c>
    </row>
    <row r="137" spans="1:33" s="117" customFormat="1" ht="11.45" customHeight="1">
      <c r="A137" s="330"/>
      <c r="B137" s="46"/>
      <c r="C137" s="46"/>
      <c r="L137" s="43"/>
      <c r="M137" s="46"/>
      <c r="N137" s="46"/>
      <c r="O137" s="43"/>
      <c r="P137" s="43"/>
      <c r="Q137" s="43"/>
      <c r="R137" s="43"/>
      <c r="S137" s="46"/>
      <c r="T137" s="43"/>
      <c r="U137" s="43"/>
      <c r="V137" s="77"/>
      <c r="W137" s="43"/>
      <c r="X137" s="43"/>
      <c r="Y137" s="43"/>
      <c r="Z137" s="43"/>
      <c r="AA137" s="43"/>
      <c r="AB137" s="7"/>
      <c r="AC137" s="88"/>
      <c r="AD137" s="88"/>
      <c r="AE137" s="88"/>
      <c r="AF137" s="88"/>
      <c r="AG137" s="117">
        <v>11</v>
      </c>
    </row>
    <row r="138" spans="1:33" s="117" customFormat="1" ht="11.45" customHeight="1">
      <c r="A138" s="330"/>
      <c r="B138" s="46"/>
      <c r="C138" s="46"/>
      <c r="L138" s="43"/>
      <c r="M138" s="46"/>
      <c r="N138" s="46"/>
      <c r="O138" s="43"/>
      <c r="P138" s="43"/>
      <c r="Q138" s="43"/>
      <c r="R138" s="43"/>
      <c r="S138" s="46"/>
      <c r="T138" s="43"/>
      <c r="U138" s="43"/>
      <c r="V138" s="77"/>
      <c r="W138" s="43"/>
      <c r="X138" s="43"/>
      <c r="Y138" s="43"/>
      <c r="Z138" s="43"/>
      <c r="AA138" s="43"/>
      <c r="AB138" s="7"/>
      <c r="AC138" s="88"/>
      <c r="AD138" s="88"/>
      <c r="AE138" s="88"/>
      <c r="AF138" s="88"/>
      <c r="AG138" s="117">
        <v>11</v>
      </c>
    </row>
    <row r="139" spans="1:33" s="117" customFormat="1" ht="11.45" customHeight="1">
      <c r="A139" s="330"/>
      <c r="B139" s="46"/>
      <c r="C139" s="46"/>
      <c r="L139" s="43"/>
      <c r="M139" s="46"/>
      <c r="N139" s="46"/>
      <c r="O139" s="43"/>
      <c r="P139" s="43"/>
      <c r="Q139" s="43"/>
      <c r="R139" s="43"/>
      <c r="S139" s="46"/>
      <c r="T139" s="43"/>
      <c r="U139" s="43"/>
      <c r="V139" s="77"/>
      <c r="W139" s="43"/>
      <c r="X139" s="43"/>
      <c r="Y139" s="43"/>
      <c r="Z139" s="43"/>
      <c r="AA139" s="43"/>
      <c r="AB139" s="7"/>
      <c r="AC139" s="88"/>
      <c r="AD139" s="88"/>
      <c r="AE139" s="88"/>
      <c r="AF139" s="88"/>
      <c r="AG139" s="117">
        <v>11</v>
      </c>
    </row>
    <row r="140" spans="1:33" s="117" customFormat="1" ht="11.45" customHeight="1">
      <c r="A140" s="330"/>
      <c r="B140" s="46"/>
      <c r="C140" s="46"/>
      <c r="L140" s="43"/>
      <c r="M140" s="46"/>
      <c r="N140" s="46"/>
      <c r="O140" s="43"/>
      <c r="P140" s="43"/>
      <c r="Q140" s="43"/>
      <c r="R140" s="43"/>
      <c r="S140" s="46"/>
      <c r="T140" s="43"/>
      <c r="U140" s="43"/>
      <c r="V140" s="77"/>
      <c r="W140" s="43"/>
      <c r="X140" s="43"/>
      <c r="Y140" s="43"/>
      <c r="Z140" s="43"/>
      <c r="AA140" s="43"/>
      <c r="AB140" s="7"/>
      <c r="AC140" s="88"/>
      <c r="AD140" s="88"/>
      <c r="AE140" s="88"/>
      <c r="AF140" s="88"/>
      <c r="AG140" s="117">
        <v>11</v>
      </c>
    </row>
    <row r="141" spans="1:33" s="117" customFormat="1" ht="11.45" customHeight="1">
      <c r="A141" s="330"/>
      <c r="B141" s="46"/>
      <c r="C141" s="46"/>
      <c r="L141" s="43"/>
      <c r="M141" s="46"/>
      <c r="N141" s="46"/>
      <c r="O141" s="43"/>
      <c r="P141" s="43"/>
      <c r="Q141" s="43"/>
      <c r="R141" s="43"/>
      <c r="S141" s="46"/>
      <c r="T141" s="43"/>
      <c r="U141" s="43"/>
      <c r="V141" s="77"/>
      <c r="W141" s="43"/>
      <c r="X141" s="43"/>
      <c r="Y141" s="43"/>
      <c r="Z141" s="43"/>
      <c r="AA141" s="43"/>
      <c r="AB141" s="7"/>
      <c r="AC141" s="88"/>
      <c r="AD141" s="88"/>
      <c r="AE141" s="88"/>
      <c r="AF141" s="88"/>
      <c r="AG141" s="117">
        <v>11</v>
      </c>
    </row>
    <row r="142" spans="1:33" s="117" customFormat="1" ht="11.45" customHeight="1">
      <c r="A142" s="330"/>
      <c r="B142" s="46"/>
      <c r="C142" s="46"/>
      <c r="L142" s="43"/>
      <c r="M142" s="46"/>
      <c r="N142" s="46"/>
      <c r="O142" s="43"/>
      <c r="P142" s="43"/>
      <c r="Q142" s="43"/>
      <c r="R142" s="43"/>
      <c r="S142" s="46"/>
      <c r="T142" s="43"/>
      <c r="U142" s="43"/>
      <c r="V142" s="77"/>
      <c r="W142" s="43"/>
      <c r="X142" s="43"/>
      <c r="Y142" s="43"/>
      <c r="Z142" s="43"/>
      <c r="AA142" s="43"/>
      <c r="AB142" s="7"/>
      <c r="AC142" s="88"/>
      <c r="AD142" s="88"/>
      <c r="AE142" s="88"/>
      <c r="AF142" s="88"/>
      <c r="AG142" s="117">
        <v>11</v>
      </c>
    </row>
    <row r="143" spans="1:33" s="117" customFormat="1" ht="11.45" customHeight="1">
      <c r="A143" s="330"/>
      <c r="B143" s="46"/>
      <c r="C143" s="46"/>
      <c r="L143" s="43"/>
      <c r="M143" s="46"/>
      <c r="N143" s="46"/>
      <c r="O143" s="43"/>
      <c r="P143" s="43"/>
      <c r="Q143" s="43"/>
      <c r="R143" s="43"/>
      <c r="S143" s="46"/>
      <c r="T143" s="43"/>
      <c r="U143" s="43"/>
      <c r="V143" s="77"/>
      <c r="W143" s="43"/>
      <c r="X143" s="43"/>
      <c r="Y143" s="43"/>
      <c r="Z143" s="43"/>
      <c r="AA143" s="43"/>
      <c r="AB143" s="7"/>
      <c r="AC143" s="88"/>
      <c r="AD143" s="88"/>
      <c r="AE143" s="88"/>
      <c r="AF143" s="88"/>
      <c r="AG143" s="117">
        <v>11</v>
      </c>
    </row>
    <row r="144" spans="1:33" s="117" customFormat="1" ht="11.45" customHeight="1">
      <c r="A144" s="330"/>
      <c r="B144" s="46"/>
      <c r="C144" s="46"/>
      <c r="L144" s="43"/>
      <c r="M144" s="46"/>
      <c r="N144" s="46"/>
      <c r="O144" s="43"/>
      <c r="P144" s="43"/>
      <c r="Q144" s="43"/>
      <c r="R144" s="43"/>
      <c r="S144" s="46"/>
      <c r="T144" s="43"/>
      <c r="U144" s="43"/>
      <c r="V144" s="77"/>
      <c r="W144" s="43"/>
      <c r="X144" s="43"/>
      <c r="Y144" s="43"/>
      <c r="Z144" s="43"/>
      <c r="AA144" s="43"/>
      <c r="AB144" s="7"/>
      <c r="AC144" s="88"/>
      <c r="AD144" s="88"/>
      <c r="AE144" s="88"/>
      <c r="AF144" s="88"/>
      <c r="AG144" s="117">
        <v>11</v>
      </c>
    </row>
    <row r="145" spans="1:33" s="117" customFormat="1" ht="11.45" customHeight="1">
      <c r="A145" s="330"/>
      <c r="B145" s="46"/>
      <c r="C145" s="46"/>
      <c r="L145" s="43"/>
      <c r="M145" s="46"/>
      <c r="N145" s="46"/>
      <c r="O145" s="43"/>
      <c r="P145" s="43"/>
      <c r="Q145" s="43"/>
      <c r="R145" s="43"/>
      <c r="S145" s="46"/>
      <c r="T145" s="43"/>
      <c r="U145" s="43"/>
      <c r="V145" s="77"/>
      <c r="W145" s="43"/>
      <c r="X145" s="43"/>
      <c r="Y145" s="43"/>
      <c r="Z145" s="43"/>
      <c r="AA145" s="43"/>
      <c r="AB145" s="7"/>
      <c r="AC145" s="88"/>
      <c r="AD145" s="88"/>
      <c r="AE145" s="88"/>
      <c r="AF145" s="88"/>
      <c r="AG145" s="117">
        <v>11</v>
      </c>
    </row>
    <row r="146" spans="1:33" s="117" customFormat="1" ht="11.45" customHeight="1">
      <c r="A146" s="330"/>
      <c r="B146" s="46"/>
      <c r="C146" s="46"/>
      <c r="L146" s="43"/>
      <c r="M146" s="46"/>
      <c r="N146" s="46"/>
      <c r="O146" s="43"/>
      <c r="P146" s="43"/>
      <c r="Q146" s="43"/>
      <c r="R146" s="43"/>
      <c r="S146" s="46"/>
      <c r="T146" s="43"/>
      <c r="U146" s="43"/>
      <c r="V146" s="77"/>
      <c r="W146" s="43"/>
      <c r="X146" s="43"/>
      <c r="Y146" s="43"/>
      <c r="Z146" s="43"/>
      <c r="AA146" s="43"/>
      <c r="AB146" s="7"/>
      <c r="AC146" s="88"/>
      <c r="AD146" s="88"/>
      <c r="AE146" s="88"/>
      <c r="AF146" s="88"/>
      <c r="AG146" s="117">
        <v>11</v>
      </c>
    </row>
    <row r="147" spans="1:33" s="117" customFormat="1" ht="11.45" customHeight="1">
      <c r="A147" s="330"/>
      <c r="B147" s="46"/>
      <c r="C147" s="46"/>
      <c r="L147" s="43"/>
      <c r="M147" s="46"/>
      <c r="N147" s="46"/>
      <c r="O147" s="43"/>
      <c r="P147" s="43"/>
      <c r="Q147" s="43"/>
      <c r="R147" s="43"/>
      <c r="S147" s="46"/>
      <c r="T147" s="43"/>
      <c r="U147" s="43"/>
      <c r="V147" s="77"/>
      <c r="W147" s="43"/>
      <c r="X147" s="43"/>
      <c r="Y147" s="43"/>
      <c r="Z147" s="43"/>
      <c r="AA147" s="43"/>
      <c r="AB147" s="7"/>
      <c r="AC147" s="88"/>
      <c r="AD147" s="88"/>
      <c r="AE147" s="88"/>
      <c r="AF147" s="88"/>
      <c r="AG147" s="117">
        <v>11</v>
      </c>
    </row>
    <row r="148" spans="1:33" s="117" customFormat="1" ht="11.45" customHeight="1">
      <c r="A148" s="330"/>
      <c r="B148" s="46"/>
      <c r="C148" s="46"/>
      <c r="L148" s="43"/>
      <c r="M148" s="46"/>
      <c r="N148" s="46"/>
      <c r="O148" s="43"/>
      <c r="P148" s="43"/>
      <c r="Q148" s="43"/>
      <c r="R148" s="43"/>
      <c r="S148" s="46"/>
      <c r="T148" s="43"/>
      <c r="U148" s="43"/>
      <c r="V148" s="77"/>
      <c r="W148" s="43"/>
      <c r="X148" s="43"/>
      <c r="Y148" s="43"/>
      <c r="Z148" s="43"/>
      <c r="AA148" s="43"/>
      <c r="AB148" s="7"/>
      <c r="AC148" s="88"/>
      <c r="AD148" s="88"/>
      <c r="AE148" s="88"/>
      <c r="AF148" s="88"/>
      <c r="AG148" s="117">
        <v>11</v>
      </c>
    </row>
    <row r="149" spans="1:33" s="117" customFormat="1" ht="11.45" customHeight="1">
      <c r="A149" s="330"/>
      <c r="B149" s="46"/>
      <c r="C149" s="46"/>
      <c r="L149" s="43"/>
      <c r="M149" s="46"/>
      <c r="N149" s="46"/>
      <c r="O149" s="43"/>
      <c r="P149" s="43"/>
      <c r="Q149" s="43"/>
      <c r="R149" s="43"/>
      <c r="S149" s="46"/>
      <c r="T149" s="43"/>
      <c r="U149" s="43"/>
      <c r="V149" s="77"/>
      <c r="W149" s="43"/>
      <c r="X149" s="43"/>
      <c r="Y149" s="43"/>
      <c r="Z149" s="43"/>
      <c r="AA149" s="43"/>
      <c r="AB149" s="7"/>
      <c r="AC149" s="88"/>
      <c r="AD149" s="88"/>
      <c r="AE149" s="88"/>
      <c r="AF149" s="88"/>
      <c r="AG149" s="117">
        <v>11</v>
      </c>
    </row>
    <row r="150" spans="1:33" s="117" customFormat="1" ht="11.45" customHeight="1">
      <c r="A150" s="330"/>
      <c r="B150" s="46"/>
      <c r="C150" s="46"/>
      <c r="L150" s="43"/>
      <c r="M150" s="46"/>
      <c r="N150" s="46"/>
      <c r="O150" s="43"/>
      <c r="P150" s="43"/>
      <c r="Q150" s="43"/>
      <c r="R150" s="43"/>
      <c r="S150" s="46"/>
      <c r="T150" s="43"/>
      <c r="U150" s="43"/>
      <c r="V150" s="77"/>
      <c r="W150" s="43"/>
      <c r="X150" s="43"/>
      <c r="Y150" s="43"/>
      <c r="Z150" s="43"/>
      <c r="AA150" s="43"/>
      <c r="AB150" s="7"/>
      <c r="AC150" s="88"/>
      <c r="AD150" s="88"/>
      <c r="AE150" s="88"/>
      <c r="AF150" s="88"/>
      <c r="AG150" s="117">
        <v>11</v>
      </c>
    </row>
    <row r="151" spans="1:33" s="117" customFormat="1" ht="11.45" customHeight="1">
      <c r="A151" s="330"/>
      <c r="B151" s="46"/>
      <c r="C151" s="46"/>
      <c r="L151" s="43"/>
      <c r="M151" s="46"/>
      <c r="N151" s="46"/>
      <c r="O151" s="43"/>
      <c r="P151" s="43"/>
      <c r="Q151" s="43"/>
      <c r="R151" s="43"/>
      <c r="S151" s="46"/>
      <c r="T151" s="43"/>
      <c r="U151" s="43"/>
      <c r="V151" s="77"/>
      <c r="W151" s="43"/>
      <c r="X151" s="43"/>
      <c r="Y151" s="43"/>
      <c r="Z151" s="43"/>
      <c r="AA151" s="43"/>
      <c r="AB151" s="7"/>
      <c r="AC151" s="88"/>
      <c r="AD151" s="88"/>
      <c r="AE151" s="88"/>
      <c r="AF151" s="88"/>
      <c r="AG151" s="117">
        <v>11</v>
      </c>
    </row>
    <row r="152" spans="1:33" s="117" customFormat="1" ht="11.45" customHeight="1">
      <c r="A152" s="330"/>
      <c r="B152" s="46"/>
      <c r="C152" s="46"/>
      <c r="L152" s="43"/>
      <c r="M152" s="46"/>
      <c r="N152" s="46"/>
      <c r="O152" s="43"/>
      <c r="P152" s="43"/>
      <c r="Q152" s="43"/>
      <c r="R152" s="43"/>
      <c r="S152" s="46"/>
      <c r="T152" s="43"/>
      <c r="U152" s="43"/>
      <c r="V152" s="77"/>
      <c r="W152" s="43"/>
      <c r="X152" s="43"/>
      <c r="Y152" s="43"/>
      <c r="Z152" s="43"/>
      <c r="AA152" s="43"/>
      <c r="AB152" s="7"/>
      <c r="AC152" s="88"/>
      <c r="AD152" s="88"/>
      <c r="AE152" s="88"/>
      <c r="AF152" s="88"/>
      <c r="AG152" s="117">
        <v>11</v>
      </c>
    </row>
    <row r="153" spans="1:33" s="117" customFormat="1" ht="11.45" customHeight="1">
      <c r="A153" s="330"/>
      <c r="B153" s="46"/>
      <c r="C153" s="46"/>
      <c r="L153" s="43"/>
      <c r="M153" s="46"/>
      <c r="N153" s="46"/>
      <c r="O153" s="43"/>
      <c r="P153" s="43"/>
      <c r="Q153" s="43"/>
      <c r="R153" s="43"/>
      <c r="S153" s="46"/>
      <c r="T153" s="43"/>
      <c r="U153" s="43"/>
      <c r="V153" s="77"/>
      <c r="W153" s="43"/>
      <c r="X153" s="43"/>
      <c r="Y153" s="43"/>
      <c r="Z153" s="43"/>
      <c r="AA153" s="43"/>
      <c r="AB153" s="7"/>
      <c r="AC153" s="88"/>
      <c r="AD153" s="88"/>
      <c r="AE153" s="88"/>
      <c r="AF153" s="88"/>
      <c r="AG153" s="117">
        <v>11</v>
      </c>
    </row>
    <row r="154" spans="1:33" s="117" customFormat="1" ht="11.45" customHeight="1">
      <c r="A154" s="330"/>
      <c r="B154" s="46"/>
      <c r="C154" s="46"/>
      <c r="L154" s="43"/>
      <c r="M154" s="46"/>
      <c r="N154" s="46"/>
      <c r="O154" s="43"/>
      <c r="P154" s="43"/>
      <c r="Q154" s="43"/>
      <c r="R154" s="43"/>
      <c r="S154" s="46"/>
      <c r="T154" s="43"/>
      <c r="U154" s="43"/>
      <c r="V154" s="77"/>
      <c r="W154" s="43"/>
      <c r="X154" s="43"/>
      <c r="Y154" s="43"/>
      <c r="Z154" s="43"/>
      <c r="AA154" s="43"/>
      <c r="AB154" s="7"/>
      <c r="AC154" s="88"/>
      <c r="AD154" s="88"/>
      <c r="AE154" s="88"/>
      <c r="AF154" s="88"/>
      <c r="AG154" s="117">
        <v>11</v>
      </c>
    </row>
    <row r="155" spans="1:33" s="117" customFormat="1" ht="11.45" customHeight="1">
      <c r="A155" s="330"/>
      <c r="B155" s="46"/>
      <c r="C155" s="46"/>
      <c r="L155" s="43"/>
      <c r="M155" s="46"/>
      <c r="N155" s="46"/>
      <c r="O155" s="43"/>
      <c r="P155" s="43"/>
      <c r="Q155" s="43"/>
      <c r="R155" s="43"/>
      <c r="S155" s="46"/>
      <c r="T155" s="43"/>
      <c r="U155" s="43"/>
      <c r="V155" s="77"/>
      <c r="W155" s="43"/>
      <c r="X155" s="43"/>
      <c r="Y155" s="43"/>
      <c r="Z155" s="43"/>
      <c r="AA155" s="43"/>
      <c r="AB155" s="7"/>
      <c r="AC155" s="88"/>
      <c r="AD155" s="88"/>
      <c r="AE155" s="88"/>
      <c r="AF155" s="88"/>
      <c r="AG155" s="117">
        <v>11</v>
      </c>
    </row>
    <row r="156" spans="1:33" s="117" customFormat="1" ht="11.45" customHeight="1">
      <c r="A156" s="330"/>
      <c r="B156" s="46"/>
      <c r="C156" s="46"/>
      <c r="L156" s="43"/>
      <c r="M156" s="46"/>
      <c r="N156" s="46"/>
      <c r="O156" s="43"/>
      <c r="P156" s="43"/>
      <c r="Q156" s="43"/>
      <c r="R156" s="43"/>
      <c r="S156" s="46"/>
      <c r="T156" s="43"/>
      <c r="U156" s="43"/>
      <c r="V156" s="77"/>
      <c r="W156" s="43"/>
      <c r="X156" s="43"/>
      <c r="Y156" s="43"/>
      <c r="Z156" s="43"/>
      <c r="AA156" s="43"/>
      <c r="AB156" s="7"/>
      <c r="AC156" s="88"/>
      <c r="AD156" s="88"/>
      <c r="AE156" s="88"/>
      <c r="AF156" s="88"/>
      <c r="AG156" s="117">
        <v>11</v>
      </c>
    </row>
    <row r="157" spans="1:33" s="117" customFormat="1" ht="11.45" customHeight="1">
      <c r="A157" s="330"/>
      <c r="B157" s="46"/>
      <c r="C157" s="46"/>
      <c r="L157" s="43"/>
      <c r="M157" s="46"/>
      <c r="N157" s="46"/>
      <c r="O157" s="43"/>
      <c r="P157" s="43"/>
      <c r="Q157" s="43"/>
      <c r="R157" s="43"/>
      <c r="S157" s="46"/>
      <c r="T157" s="43"/>
      <c r="U157" s="43"/>
      <c r="V157" s="77"/>
      <c r="W157" s="43"/>
      <c r="X157" s="43"/>
      <c r="Y157" s="43"/>
      <c r="Z157" s="43"/>
      <c r="AA157" s="43"/>
      <c r="AB157" s="7"/>
      <c r="AC157" s="88"/>
      <c r="AD157" s="88"/>
      <c r="AE157" s="88"/>
      <c r="AF157" s="88"/>
      <c r="AG157" s="117">
        <v>11</v>
      </c>
    </row>
    <row r="158" spans="1:33" s="117" customFormat="1" ht="11.45" customHeight="1">
      <c r="A158" s="330"/>
      <c r="B158" s="46"/>
      <c r="C158" s="46"/>
      <c r="L158" s="43"/>
      <c r="M158" s="46"/>
      <c r="N158" s="46"/>
      <c r="O158" s="43"/>
      <c r="P158" s="43"/>
      <c r="Q158" s="43"/>
      <c r="R158" s="43"/>
      <c r="S158" s="46"/>
      <c r="T158" s="43"/>
      <c r="U158" s="43"/>
      <c r="V158" s="77"/>
      <c r="W158" s="43"/>
      <c r="X158" s="43"/>
      <c r="Y158" s="43"/>
      <c r="Z158" s="43"/>
      <c r="AA158" s="43"/>
      <c r="AB158" s="7"/>
      <c r="AC158" s="88"/>
      <c r="AD158" s="88"/>
      <c r="AE158" s="88"/>
      <c r="AF158" s="88"/>
      <c r="AG158" s="117">
        <v>11</v>
      </c>
    </row>
    <row r="159" spans="1:33" s="117" customFormat="1" ht="11.45" customHeight="1">
      <c r="A159" s="330"/>
      <c r="B159" s="46"/>
      <c r="C159" s="46"/>
      <c r="L159" s="43"/>
      <c r="M159" s="46"/>
      <c r="N159" s="46"/>
      <c r="O159" s="43"/>
      <c r="P159" s="43"/>
      <c r="Q159" s="43"/>
      <c r="R159" s="43"/>
      <c r="S159" s="46"/>
      <c r="T159" s="43"/>
      <c r="U159" s="43"/>
      <c r="V159" s="77"/>
      <c r="W159" s="43"/>
      <c r="X159" s="43"/>
      <c r="Y159" s="43"/>
      <c r="Z159" s="43"/>
      <c r="AA159" s="43"/>
      <c r="AB159" s="7"/>
      <c r="AC159" s="88"/>
      <c r="AD159" s="88"/>
      <c r="AE159" s="88"/>
      <c r="AF159" s="88"/>
      <c r="AG159" s="117">
        <v>11</v>
      </c>
    </row>
    <row r="160" spans="1:33" s="117" customFormat="1" ht="11.45" customHeight="1">
      <c r="A160" s="330"/>
      <c r="B160" s="46"/>
      <c r="C160" s="46"/>
      <c r="L160" s="43"/>
      <c r="M160" s="46"/>
      <c r="N160" s="46"/>
      <c r="O160" s="43"/>
      <c r="P160" s="43"/>
      <c r="Q160" s="43"/>
      <c r="R160" s="43"/>
      <c r="S160" s="46"/>
      <c r="T160" s="43"/>
      <c r="U160" s="43"/>
      <c r="V160" s="77"/>
      <c r="W160" s="43"/>
      <c r="X160" s="43"/>
      <c r="Y160" s="43"/>
      <c r="Z160" s="43"/>
      <c r="AA160" s="43"/>
      <c r="AB160" s="7"/>
      <c r="AC160" s="88"/>
      <c r="AD160" s="88"/>
      <c r="AE160" s="88"/>
      <c r="AF160" s="88"/>
      <c r="AG160" s="117">
        <v>11</v>
      </c>
    </row>
    <row r="161" spans="1:33" s="117" customFormat="1" ht="11.45" customHeight="1">
      <c r="A161" s="330"/>
      <c r="B161" s="46"/>
      <c r="C161" s="46"/>
      <c r="L161" s="43"/>
      <c r="M161" s="46"/>
      <c r="N161" s="46"/>
      <c r="O161" s="43"/>
      <c r="P161" s="43"/>
      <c r="Q161" s="43"/>
      <c r="R161" s="43"/>
      <c r="S161" s="46"/>
      <c r="T161" s="43"/>
      <c r="U161" s="43"/>
      <c r="V161" s="77"/>
      <c r="W161" s="43"/>
      <c r="X161" s="43"/>
      <c r="Y161" s="43"/>
      <c r="Z161" s="43"/>
      <c r="AA161" s="43"/>
      <c r="AB161" s="7"/>
      <c r="AC161" s="88"/>
      <c r="AD161" s="88"/>
      <c r="AE161" s="88"/>
      <c r="AF161" s="88"/>
      <c r="AG161" s="117">
        <v>11</v>
      </c>
    </row>
    <row r="162" spans="1:33" s="117" customFormat="1" ht="11.45" customHeight="1">
      <c r="A162" s="330"/>
      <c r="B162" s="46"/>
      <c r="C162" s="46"/>
      <c r="L162" s="43"/>
      <c r="M162" s="46"/>
      <c r="N162" s="46"/>
      <c r="O162" s="43"/>
      <c r="P162" s="43"/>
      <c r="Q162" s="43"/>
      <c r="R162" s="43"/>
      <c r="S162" s="46"/>
      <c r="T162" s="43"/>
      <c r="U162" s="43"/>
      <c r="V162" s="77"/>
      <c r="W162" s="43"/>
      <c r="X162" s="43"/>
      <c r="Y162" s="43"/>
      <c r="Z162" s="43"/>
      <c r="AA162" s="43"/>
      <c r="AB162" s="7"/>
      <c r="AC162" s="88"/>
      <c r="AD162" s="88"/>
      <c r="AE162" s="88"/>
      <c r="AF162" s="88"/>
      <c r="AG162" s="117">
        <v>11</v>
      </c>
    </row>
    <row r="163" spans="1:33" s="117" customFormat="1" ht="11.45" customHeight="1">
      <c r="A163" s="330"/>
      <c r="B163" s="46"/>
      <c r="C163" s="46"/>
      <c r="L163" s="43"/>
      <c r="M163" s="46"/>
      <c r="N163" s="46"/>
      <c r="O163" s="43"/>
      <c r="P163" s="43"/>
      <c r="Q163" s="43"/>
      <c r="R163" s="43"/>
      <c r="S163" s="46"/>
      <c r="T163" s="43"/>
      <c r="U163" s="43"/>
      <c r="V163" s="77"/>
      <c r="W163" s="43"/>
      <c r="X163" s="43"/>
      <c r="Y163" s="43"/>
      <c r="Z163" s="43"/>
      <c r="AA163" s="43"/>
      <c r="AB163" s="7"/>
      <c r="AC163" s="88"/>
      <c r="AD163" s="88"/>
      <c r="AE163" s="88"/>
      <c r="AF163" s="88"/>
      <c r="AG163" s="117">
        <v>11</v>
      </c>
    </row>
    <row r="164" spans="1:33" s="117" customFormat="1" ht="11.45" customHeight="1">
      <c r="A164" s="330"/>
      <c r="B164" s="46"/>
      <c r="C164" s="46"/>
      <c r="L164" s="43"/>
      <c r="M164" s="46"/>
      <c r="N164" s="46"/>
      <c r="O164" s="43"/>
      <c r="P164" s="43"/>
      <c r="Q164" s="43"/>
      <c r="R164" s="43"/>
      <c r="S164" s="46"/>
      <c r="T164" s="43"/>
      <c r="U164" s="43"/>
      <c r="V164" s="77"/>
      <c r="W164" s="43"/>
      <c r="X164" s="43"/>
      <c r="Y164" s="43"/>
      <c r="Z164" s="43"/>
      <c r="AA164" s="43"/>
      <c r="AB164" s="7"/>
      <c r="AC164" s="88"/>
      <c r="AD164" s="88"/>
      <c r="AE164" s="88"/>
      <c r="AF164" s="88"/>
      <c r="AG164" s="117">
        <v>11</v>
      </c>
    </row>
    <row r="165" spans="1:33" s="117" customFormat="1" ht="11.45" customHeight="1">
      <c r="A165" s="330"/>
      <c r="B165" s="46"/>
      <c r="C165" s="46"/>
      <c r="L165" s="43"/>
      <c r="M165" s="46"/>
      <c r="N165" s="46"/>
      <c r="O165" s="43"/>
      <c r="P165" s="43"/>
      <c r="Q165" s="43"/>
      <c r="R165" s="43"/>
      <c r="S165" s="46"/>
      <c r="T165" s="43"/>
      <c r="U165" s="43"/>
      <c r="V165" s="77"/>
      <c r="W165" s="43"/>
      <c r="X165" s="43"/>
      <c r="Y165" s="43"/>
      <c r="Z165" s="43"/>
      <c r="AA165" s="43"/>
      <c r="AB165" s="7"/>
      <c r="AC165" s="88"/>
      <c r="AD165" s="88"/>
      <c r="AE165" s="88"/>
      <c r="AF165" s="88"/>
      <c r="AG165" s="117">
        <v>11</v>
      </c>
    </row>
    <row r="166" spans="1:33" s="117" customFormat="1" ht="11.45" customHeight="1">
      <c r="A166" s="330"/>
      <c r="B166" s="46"/>
      <c r="C166" s="46"/>
      <c r="L166" s="43"/>
      <c r="M166" s="46"/>
      <c r="N166" s="46"/>
      <c r="O166" s="43"/>
      <c r="P166" s="43"/>
      <c r="Q166" s="43"/>
      <c r="R166" s="43"/>
      <c r="S166" s="46"/>
      <c r="T166" s="43"/>
      <c r="U166" s="43"/>
      <c r="V166" s="77"/>
      <c r="W166" s="43"/>
      <c r="X166" s="43"/>
      <c r="Y166" s="43"/>
      <c r="Z166" s="43"/>
      <c r="AA166" s="43"/>
      <c r="AB166" s="7"/>
      <c r="AC166" s="88"/>
      <c r="AD166" s="88"/>
      <c r="AE166" s="88"/>
      <c r="AF166" s="88"/>
      <c r="AG166" s="117">
        <v>11</v>
      </c>
    </row>
    <row r="167" spans="1:33" s="117" customFormat="1" ht="11.45" customHeight="1">
      <c r="A167" s="330"/>
      <c r="B167" s="46"/>
      <c r="C167" s="46"/>
      <c r="L167" s="43"/>
      <c r="M167" s="46"/>
      <c r="N167" s="46"/>
      <c r="O167" s="43"/>
      <c r="P167" s="43"/>
      <c r="Q167" s="43"/>
      <c r="R167" s="43"/>
      <c r="S167" s="46"/>
      <c r="T167" s="43"/>
      <c r="U167" s="43"/>
      <c r="V167" s="77"/>
      <c r="W167" s="43"/>
      <c r="X167" s="43"/>
      <c r="Y167" s="43"/>
      <c r="Z167" s="43"/>
      <c r="AA167" s="43"/>
      <c r="AB167" s="7"/>
      <c r="AC167" s="88"/>
      <c r="AD167" s="88"/>
      <c r="AE167" s="88"/>
      <c r="AF167" s="88"/>
      <c r="AG167" s="117">
        <v>11</v>
      </c>
    </row>
    <row r="168" spans="1:33" s="117" customFormat="1" ht="11.45" customHeight="1">
      <c r="A168" s="330"/>
      <c r="B168" s="46"/>
      <c r="C168" s="46"/>
      <c r="L168" s="43"/>
      <c r="M168" s="46"/>
      <c r="N168" s="46"/>
      <c r="O168" s="43"/>
      <c r="P168" s="43"/>
      <c r="Q168" s="43"/>
      <c r="R168" s="43"/>
      <c r="S168" s="46"/>
      <c r="T168" s="43"/>
      <c r="U168" s="43"/>
      <c r="V168" s="77"/>
      <c r="W168" s="43"/>
      <c r="X168" s="43"/>
      <c r="Y168" s="43"/>
      <c r="Z168" s="43"/>
      <c r="AA168" s="43"/>
      <c r="AB168" s="7"/>
      <c r="AC168" s="88"/>
      <c r="AD168" s="88"/>
      <c r="AE168" s="88"/>
      <c r="AF168" s="88"/>
      <c r="AG168" s="117">
        <v>11</v>
      </c>
    </row>
    <row r="169" spans="1:33" s="117" customFormat="1" ht="11.45" customHeight="1">
      <c r="A169" s="330"/>
      <c r="B169" s="46"/>
      <c r="C169" s="46"/>
      <c r="L169" s="43"/>
      <c r="M169" s="46"/>
      <c r="N169" s="46"/>
      <c r="O169" s="43"/>
      <c r="P169" s="43"/>
      <c r="Q169" s="43"/>
      <c r="R169" s="43"/>
      <c r="S169" s="46"/>
      <c r="T169" s="43"/>
      <c r="U169" s="43"/>
      <c r="V169" s="77"/>
      <c r="W169" s="43"/>
      <c r="X169" s="43"/>
      <c r="Y169" s="43"/>
      <c r="Z169" s="43"/>
      <c r="AA169" s="43"/>
      <c r="AB169" s="7"/>
      <c r="AC169" s="88"/>
      <c r="AD169" s="88"/>
      <c r="AE169" s="88"/>
      <c r="AF169" s="88"/>
      <c r="AG169" s="117">
        <v>11</v>
      </c>
    </row>
    <row r="170" spans="1:33" s="117" customFormat="1" ht="11.45" customHeight="1">
      <c r="A170" s="330"/>
      <c r="B170" s="46"/>
      <c r="C170" s="46"/>
      <c r="L170" s="43"/>
      <c r="M170" s="46"/>
      <c r="N170" s="46"/>
      <c r="O170" s="43"/>
      <c r="P170" s="43"/>
      <c r="Q170" s="43"/>
      <c r="R170" s="43"/>
      <c r="S170" s="46"/>
      <c r="T170" s="43"/>
      <c r="U170" s="43"/>
      <c r="V170" s="77"/>
      <c r="W170" s="43"/>
      <c r="X170" s="43"/>
      <c r="Y170" s="43"/>
      <c r="Z170" s="43"/>
      <c r="AA170" s="43"/>
      <c r="AB170" s="7"/>
      <c r="AC170" s="88"/>
      <c r="AD170" s="88"/>
      <c r="AE170" s="88"/>
      <c r="AF170" s="88"/>
      <c r="AG170" s="117">
        <v>11</v>
      </c>
    </row>
    <row r="171" spans="1:33" s="117" customFormat="1" ht="11.45" customHeight="1">
      <c r="A171" s="330"/>
      <c r="B171" s="46"/>
      <c r="C171" s="46"/>
      <c r="L171" s="43"/>
      <c r="M171" s="46"/>
      <c r="N171" s="46"/>
      <c r="O171" s="43"/>
      <c r="P171" s="43"/>
      <c r="Q171" s="43"/>
      <c r="R171" s="43"/>
      <c r="S171" s="46"/>
      <c r="T171" s="43"/>
      <c r="U171" s="43"/>
      <c r="V171" s="77"/>
      <c r="W171" s="43"/>
      <c r="X171" s="43"/>
      <c r="Y171" s="43"/>
      <c r="Z171" s="43"/>
      <c r="AA171" s="43"/>
      <c r="AB171" s="7"/>
      <c r="AC171" s="88"/>
      <c r="AD171" s="88"/>
      <c r="AE171" s="88"/>
      <c r="AF171" s="88"/>
      <c r="AG171" s="117">
        <v>11</v>
      </c>
    </row>
    <row r="172" spans="1:33" s="117" customFormat="1" ht="11.45" customHeight="1">
      <c r="A172" s="330"/>
      <c r="B172" s="46"/>
      <c r="C172" s="46"/>
      <c r="L172" s="43"/>
      <c r="M172" s="46"/>
      <c r="N172" s="46"/>
      <c r="O172" s="43"/>
      <c r="P172" s="43"/>
      <c r="Q172" s="43"/>
      <c r="R172" s="43"/>
      <c r="S172" s="46"/>
      <c r="T172" s="43"/>
      <c r="U172" s="43"/>
      <c r="V172" s="77"/>
      <c r="W172" s="43"/>
      <c r="X172" s="43"/>
      <c r="Y172" s="43"/>
      <c r="Z172" s="43"/>
      <c r="AA172" s="43"/>
      <c r="AB172" s="7"/>
      <c r="AC172" s="88"/>
      <c r="AD172" s="88"/>
      <c r="AE172" s="88"/>
      <c r="AF172" s="88"/>
      <c r="AG172" s="117">
        <v>11</v>
      </c>
    </row>
    <row r="173" spans="1:33" s="117" customFormat="1" ht="11.45" customHeight="1">
      <c r="A173" s="330"/>
      <c r="B173" s="46"/>
      <c r="C173" s="46"/>
      <c r="L173" s="43"/>
      <c r="M173" s="46"/>
      <c r="N173" s="46"/>
      <c r="O173" s="43"/>
      <c r="P173" s="43"/>
      <c r="Q173" s="43"/>
      <c r="R173" s="43"/>
      <c r="S173" s="46"/>
      <c r="T173" s="43"/>
      <c r="U173" s="43"/>
      <c r="V173" s="77"/>
      <c r="W173" s="43"/>
      <c r="X173" s="43"/>
      <c r="Y173" s="43"/>
      <c r="Z173" s="43"/>
      <c r="AA173" s="43"/>
      <c r="AB173" s="7"/>
      <c r="AC173" s="88"/>
      <c r="AD173" s="88"/>
      <c r="AE173" s="88"/>
      <c r="AF173" s="88"/>
      <c r="AG173" s="117">
        <v>11</v>
      </c>
    </row>
    <row r="174" spans="1:33" s="117" customFormat="1" ht="11.45" customHeight="1">
      <c r="A174" s="330"/>
      <c r="B174" s="46"/>
      <c r="C174" s="46"/>
      <c r="L174" s="43"/>
      <c r="M174" s="46"/>
      <c r="N174" s="46"/>
      <c r="O174" s="43"/>
      <c r="P174" s="43"/>
      <c r="Q174" s="43"/>
      <c r="R174" s="43"/>
      <c r="S174" s="46"/>
      <c r="T174" s="43"/>
      <c r="U174" s="43"/>
      <c r="V174" s="77"/>
      <c r="W174" s="43"/>
      <c r="X174" s="43"/>
      <c r="Y174" s="43"/>
      <c r="Z174" s="43"/>
      <c r="AA174" s="43"/>
      <c r="AB174" s="7"/>
      <c r="AC174" s="88"/>
      <c r="AD174" s="88"/>
      <c r="AE174" s="88"/>
      <c r="AF174" s="88"/>
      <c r="AG174" s="117">
        <v>11</v>
      </c>
    </row>
    <row r="175" spans="1:33" s="117" customFormat="1" ht="11.45" customHeight="1">
      <c r="A175" s="330"/>
      <c r="B175" s="46"/>
      <c r="C175" s="46"/>
      <c r="L175" s="43"/>
      <c r="M175" s="46"/>
      <c r="N175" s="46"/>
      <c r="O175" s="43"/>
      <c r="P175" s="43"/>
      <c r="Q175" s="43"/>
      <c r="R175" s="43"/>
      <c r="S175" s="46"/>
      <c r="T175" s="43"/>
      <c r="U175" s="43"/>
      <c r="V175" s="77"/>
      <c r="W175" s="43"/>
      <c r="X175" s="43"/>
      <c r="Y175" s="43"/>
      <c r="Z175" s="43"/>
      <c r="AA175" s="43"/>
      <c r="AB175" s="7"/>
      <c r="AC175" s="88"/>
      <c r="AD175" s="88"/>
      <c r="AE175" s="88"/>
      <c r="AF175" s="88"/>
      <c r="AG175" s="117">
        <v>11</v>
      </c>
    </row>
    <row r="176" spans="1:33" s="117" customFormat="1" ht="11.45" customHeight="1">
      <c r="A176" s="330"/>
      <c r="B176" s="46"/>
      <c r="C176" s="46"/>
      <c r="L176" s="43"/>
      <c r="M176" s="46"/>
      <c r="N176" s="46"/>
      <c r="O176" s="43"/>
      <c r="P176" s="43"/>
      <c r="Q176" s="43"/>
      <c r="R176" s="43"/>
      <c r="S176" s="46"/>
      <c r="T176" s="43"/>
      <c r="U176" s="43"/>
      <c r="V176" s="77"/>
      <c r="W176" s="43"/>
      <c r="X176" s="43"/>
      <c r="Y176" s="43"/>
      <c r="Z176" s="43"/>
      <c r="AA176" s="43"/>
      <c r="AB176" s="7"/>
      <c r="AC176" s="88"/>
      <c r="AD176" s="88"/>
      <c r="AE176" s="88"/>
      <c r="AF176" s="88"/>
      <c r="AG176" s="117">
        <v>11</v>
      </c>
    </row>
    <row r="177" spans="1:33" s="117" customFormat="1" ht="11.45" customHeight="1">
      <c r="A177" s="330"/>
      <c r="B177" s="46"/>
      <c r="C177" s="46"/>
      <c r="L177" s="43"/>
      <c r="M177" s="46"/>
      <c r="N177" s="46"/>
      <c r="O177" s="43"/>
      <c r="P177" s="43"/>
      <c r="Q177" s="43"/>
      <c r="R177" s="43"/>
      <c r="S177" s="46"/>
      <c r="T177" s="43"/>
      <c r="U177" s="43"/>
      <c r="V177" s="77"/>
      <c r="W177" s="43"/>
      <c r="X177" s="43"/>
      <c r="Y177" s="43"/>
      <c r="Z177" s="43"/>
      <c r="AA177" s="43"/>
      <c r="AB177" s="7"/>
      <c r="AC177" s="88"/>
      <c r="AD177" s="88"/>
      <c r="AE177" s="88"/>
      <c r="AF177" s="88"/>
      <c r="AG177" s="117">
        <v>11</v>
      </c>
    </row>
    <row r="178" spans="1:33" s="117" customFormat="1" ht="11.45" customHeight="1">
      <c r="A178" s="330"/>
      <c r="B178" s="46"/>
      <c r="C178" s="46"/>
      <c r="L178" s="43"/>
      <c r="M178" s="46"/>
      <c r="N178" s="46"/>
      <c r="O178" s="43"/>
      <c r="P178" s="43"/>
      <c r="Q178" s="43"/>
      <c r="R178" s="43"/>
      <c r="S178" s="46"/>
      <c r="T178" s="43"/>
      <c r="U178" s="43"/>
      <c r="V178" s="77"/>
      <c r="W178" s="43"/>
      <c r="X178" s="43"/>
      <c r="Y178" s="43"/>
      <c r="Z178" s="43"/>
      <c r="AA178" s="43"/>
      <c r="AB178" s="7"/>
      <c r="AC178" s="88"/>
      <c r="AD178" s="88"/>
      <c r="AE178" s="88"/>
      <c r="AF178" s="88"/>
      <c r="AG178" s="117">
        <v>11</v>
      </c>
    </row>
    <row r="179" spans="1:33" s="117" customFormat="1" ht="11.45" customHeight="1">
      <c r="A179" s="330"/>
      <c r="B179" s="46"/>
      <c r="C179" s="46"/>
      <c r="L179" s="43"/>
      <c r="M179" s="46"/>
      <c r="N179" s="46"/>
      <c r="O179" s="43"/>
      <c r="P179" s="43"/>
      <c r="Q179" s="43"/>
      <c r="R179" s="43"/>
      <c r="S179" s="46"/>
      <c r="T179" s="43"/>
      <c r="U179" s="43"/>
      <c r="V179" s="77"/>
      <c r="W179" s="43"/>
      <c r="X179" s="43"/>
      <c r="Y179" s="43"/>
      <c r="Z179" s="43"/>
      <c r="AA179" s="43"/>
      <c r="AB179" s="7"/>
      <c r="AC179" s="88"/>
      <c r="AD179" s="88"/>
      <c r="AE179" s="88"/>
      <c r="AF179" s="88"/>
      <c r="AG179" s="117">
        <v>11</v>
      </c>
    </row>
    <row r="180" spans="1:33" s="117" customFormat="1" ht="11.45" customHeight="1">
      <c r="A180" s="330"/>
      <c r="B180" s="46"/>
      <c r="C180" s="46"/>
      <c r="L180" s="43"/>
      <c r="M180" s="46"/>
      <c r="N180" s="46"/>
      <c r="O180" s="43"/>
      <c r="P180" s="43"/>
      <c r="Q180" s="43"/>
      <c r="R180" s="43"/>
      <c r="S180" s="46"/>
      <c r="T180" s="43"/>
      <c r="U180" s="43"/>
      <c r="V180" s="77"/>
      <c r="W180" s="43"/>
      <c r="X180" s="43"/>
      <c r="Y180" s="43"/>
      <c r="Z180" s="43"/>
      <c r="AA180" s="43"/>
      <c r="AB180" s="7"/>
      <c r="AC180" s="88"/>
      <c r="AD180" s="88"/>
      <c r="AE180" s="88"/>
      <c r="AF180" s="88"/>
      <c r="AG180" s="117">
        <v>11</v>
      </c>
    </row>
    <row r="181" spans="1:33" s="117" customFormat="1" ht="11.45" customHeight="1">
      <c r="A181" s="330"/>
      <c r="B181" s="46"/>
      <c r="C181" s="46"/>
      <c r="L181" s="43"/>
      <c r="M181" s="46"/>
      <c r="N181" s="46"/>
      <c r="O181" s="43"/>
      <c r="P181" s="43"/>
      <c r="Q181" s="43"/>
      <c r="R181" s="43"/>
      <c r="S181" s="46"/>
      <c r="T181" s="43"/>
      <c r="U181" s="43"/>
      <c r="V181" s="77"/>
      <c r="W181" s="43"/>
      <c r="X181" s="43"/>
      <c r="Y181" s="43"/>
      <c r="Z181" s="43"/>
      <c r="AA181" s="43"/>
      <c r="AB181" s="7"/>
      <c r="AC181" s="88"/>
      <c r="AD181" s="88"/>
      <c r="AE181" s="88"/>
      <c r="AF181" s="88"/>
      <c r="AG181" s="117">
        <v>11</v>
      </c>
    </row>
    <row r="182" spans="1:33" s="117" customFormat="1" ht="11.45" customHeight="1">
      <c r="A182" s="330"/>
      <c r="B182" s="46"/>
      <c r="C182" s="46"/>
      <c r="L182" s="43"/>
      <c r="M182" s="46"/>
      <c r="N182" s="46"/>
      <c r="O182" s="43"/>
      <c r="P182" s="43"/>
      <c r="Q182" s="43"/>
      <c r="R182" s="43"/>
      <c r="S182" s="46"/>
      <c r="T182" s="43"/>
      <c r="U182" s="43"/>
      <c r="V182" s="77"/>
      <c r="W182" s="43"/>
      <c r="X182" s="43"/>
      <c r="Y182" s="43"/>
      <c r="Z182" s="43"/>
      <c r="AA182" s="43"/>
      <c r="AB182" s="7"/>
      <c r="AC182" s="88"/>
      <c r="AD182" s="88"/>
      <c r="AE182" s="88"/>
      <c r="AF182" s="88"/>
      <c r="AG182" s="117">
        <v>11</v>
      </c>
    </row>
    <row r="183" spans="1:33" s="117" customFormat="1" ht="11.45" customHeight="1">
      <c r="A183" s="330"/>
      <c r="B183" s="46"/>
      <c r="C183" s="46"/>
      <c r="L183" s="43"/>
      <c r="M183" s="46"/>
      <c r="N183" s="46"/>
      <c r="O183" s="43"/>
      <c r="P183" s="43"/>
      <c r="Q183" s="43"/>
      <c r="R183" s="43"/>
      <c r="S183" s="46"/>
      <c r="T183" s="43"/>
      <c r="U183" s="43"/>
      <c r="V183" s="77"/>
      <c r="W183" s="43"/>
      <c r="X183" s="43"/>
      <c r="Y183" s="43"/>
      <c r="Z183" s="43"/>
      <c r="AA183" s="43"/>
      <c r="AB183" s="7"/>
      <c r="AC183" s="88"/>
      <c r="AD183" s="88"/>
      <c r="AE183" s="88"/>
      <c r="AF183" s="88"/>
      <c r="AG183" s="117">
        <v>11</v>
      </c>
    </row>
    <row r="184" spans="1:33" s="117" customFormat="1" ht="11.45" customHeight="1">
      <c r="A184" s="330"/>
      <c r="B184" s="46"/>
      <c r="C184" s="46"/>
      <c r="L184" s="43"/>
      <c r="M184" s="46"/>
      <c r="N184" s="46"/>
      <c r="O184" s="43"/>
      <c r="P184" s="43"/>
      <c r="Q184" s="43"/>
      <c r="R184" s="43"/>
      <c r="S184" s="46"/>
      <c r="T184" s="43"/>
      <c r="U184" s="43"/>
      <c r="V184" s="77"/>
      <c r="W184" s="43"/>
      <c r="X184" s="43"/>
      <c r="Y184" s="43"/>
      <c r="Z184" s="43"/>
      <c r="AA184" s="43"/>
      <c r="AB184" s="7"/>
      <c r="AC184" s="88"/>
      <c r="AD184" s="88"/>
      <c r="AE184" s="88"/>
      <c r="AF184" s="88"/>
      <c r="AG184" s="117">
        <v>11</v>
      </c>
    </row>
    <row r="185" spans="1:33" s="117" customFormat="1" ht="11.45" customHeight="1">
      <c r="A185" s="330"/>
      <c r="B185" s="46"/>
      <c r="C185" s="46"/>
      <c r="L185" s="43"/>
      <c r="M185" s="46"/>
      <c r="N185" s="46"/>
      <c r="O185" s="43"/>
      <c r="P185" s="43"/>
      <c r="Q185" s="43"/>
      <c r="R185" s="43"/>
      <c r="S185" s="46"/>
      <c r="T185" s="43"/>
      <c r="U185" s="43"/>
      <c r="V185" s="77"/>
      <c r="W185" s="43"/>
      <c r="X185" s="43"/>
      <c r="Y185" s="43"/>
      <c r="Z185" s="43"/>
      <c r="AA185" s="43"/>
      <c r="AB185" s="7"/>
      <c r="AC185" s="88"/>
      <c r="AD185" s="88"/>
      <c r="AE185" s="88"/>
      <c r="AF185" s="88"/>
      <c r="AG185" s="117">
        <v>11</v>
      </c>
    </row>
    <row r="186" spans="1:33" s="117" customFormat="1" ht="11.45" customHeight="1">
      <c r="A186" s="330"/>
      <c r="B186" s="46"/>
      <c r="C186" s="46"/>
      <c r="L186" s="43"/>
      <c r="M186" s="46"/>
      <c r="N186" s="46"/>
      <c r="O186" s="43"/>
      <c r="P186" s="43"/>
      <c r="Q186" s="43"/>
      <c r="R186" s="43"/>
      <c r="S186" s="46"/>
      <c r="T186" s="43"/>
      <c r="U186" s="43"/>
      <c r="V186" s="77"/>
      <c r="W186" s="43"/>
      <c r="X186" s="43"/>
      <c r="Y186" s="43"/>
      <c r="Z186" s="43"/>
      <c r="AA186" s="43"/>
      <c r="AB186" s="7"/>
      <c r="AC186" s="88"/>
      <c r="AD186" s="88"/>
      <c r="AE186" s="88"/>
      <c r="AF186" s="88"/>
      <c r="AG186" s="117">
        <v>11</v>
      </c>
    </row>
    <row r="187" spans="1:33" s="117" customFormat="1" ht="11.45" customHeight="1">
      <c r="A187" s="330"/>
      <c r="B187" s="46"/>
      <c r="C187" s="46"/>
      <c r="L187" s="43"/>
      <c r="M187" s="46"/>
      <c r="N187" s="46"/>
      <c r="O187" s="43"/>
      <c r="P187" s="43"/>
      <c r="Q187" s="43"/>
      <c r="R187" s="43"/>
      <c r="S187" s="46"/>
      <c r="T187" s="43"/>
      <c r="U187" s="43"/>
      <c r="V187" s="77"/>
      <c r="W187" s="43"/>
      <c r="X187" s="43"/>
      <c r="Y187" s="43"/>
      <c r="Z187" s="43"/>
      <c r="AA187" s="43"/>
      <c r="AB187" s="7"/>
      <c r="AC187" s="88"/>
      <c r="AD187" s="88"/>
      <c r="AE187" s="88"/>
      <c r="AF187" s="88"/>
      <c r="AG187" s="117">
        <v>11</v>
      </c>
    </row>
    <row r="188" spans="1:33" s="117" customFormat="1" ht="11.45" customHeight="1">
      <c r="A188" s="330"/>
      <c r="B188" s="46"/>
      <c r="C188" s="46"/>
      <c r="L188" s="43"/>
      <c r="M188" s="46"/>
      <c r="N188" s="46"/>
      <c r="O188" s="43"/>
      <c r="P188" s="43"/>
      <c r="Q188" s="43"/>
      <c r="R188" s="43"/>
      <c r="S188" s="46"/>
      <c r="T188" s="43"/>
      <c r="U188" s="43"/>
      <c r="V188" s="77"/>
      <c r="W188" s="43"/>
      <c r="X188" s="43"/>
      <c r="Y188" s="43"/>
      <c r="Z188" s="43"/>
      <c r="AA188" s="43"/>
      <c r="AB188" s="7"/>
      <c r="AC188" s="88"/>
      <c r="AD188" s="88"/>
      <c r="AE188" s="88"/>
      <c r="AF188" s="88"/>
      <c r="AG188" s="117">
        <v>11</v>
      </c>
    </row>
    <row r="189" spans="1:33" s="117" customFormat="1" ht="11.45" customHeight="1">
      <c r="A189" s="330"/>
      <c r="B189" s="46"/>
      <c r="C189" s="46"/>
      <c r="L189" s="43"/>
      <c r="M189" s="46"/>
      <c r="N189" s="46"/>
      <c r="O189" s="43"/>
      <c r="P189" s="43"/>
      <c r="Q189" s="43"/>
      <c r="R189" s="43"/>
      <c r="S189" s="46"/>
      <c r="T189" s="43"/>
      <c r="U189" s="43"/>
      <c r="V189" s="77"/>
      <c r="W189" s="43"/>
      <c r="X189" s="43"/>
      <c r="Y189" s="43"/>
      <c r="Z189" s="43"/>
      <c r="AA189" s="43"/>
      <c r="AB189" s="7"/>
      <c r="AC189" s="88"/>
      <c r="AD189" s="88"/>
      <c r="AE189" s="88"/>
      <c r="AF189" s="88"/>
      <c r="AG189" s="117">
        <v>11</v>
      </c>
    </row>
    <row r="190" spans="1:33" s="117" customFormat="1" ht="11.45" customHeight="1">
      <c r="A190" s="330"/>
      <c r="B190" s="46"/>
      <c r="C190" s="46"/>
      <c r="L190" s="43"/>
      <c r="M190" s="46"/>
      <c r="N190" s="46"/>
      <c r="O190" s="43"/>
      <c r="P190" s="43"/>
      <c r="Q190" s="43"/>
      <c r="R190" s="43"/>
      <c r="S190" s="46"/>
      <c r="T190" s="43"/>
      <c r="U190" s="43"/>
      <c r="V190" s="77"/>
      <c r="W190" s="43"/>
      <c r="X190" s="43"/>
      <c r="Y190" s="43"/>
      <c r="Z190" s="43"/>
      <c r="AA190" s="43"/>
      <c r="AB190" s="7"/>
      <c r="AC190" s="88"/>
      <c r="AD190" s="88"/>
      <c r="AE190" s="88"/>
      <c r="AF190" s="88"/>
      <c r="AG190" s="117">
        <v>11</v>
      </c>
    </row>
    <row r="191" spans="1:33" s="117" customFormat="1" ht="11.45" customHeight="1">
      <c r="A191" s="330"/>
      <c r="B191" s="46"/>
      <c r="C191" s="46"/>
      <c r="L191" s="43"/>
      <c r="M191" s="46"/>
      <c r="N191" s="46"/>
      <c r="O191" s="43"/>
      <c r="P191" s="43"/>
      <c r="Q191" s="43"/>
      <c r="R191" s="43"/>
      <c r="S191" s="46"/>
      <c r="T191" s="43"/>
      <c r="U191" s="43"/>
      <c r="V191" s="77"/>
      <c r="W191" s="43"/>
      <c r="X191" s="43"/>
      <c r="Y191" s="43"/>
      <c r="Z191" s="43"/>
      <c r="AA191" s="43"/>
      <c r="AB191" s="7"/>
      <c r="AC191" s="88"/>
      <c r="AD191" s="88"/>
      <c r="AE191" s="88"/>
      <c r="AF191" s="88"/>
      <c r="AG191" s="117">
        <v>11</v>
      </c>
    </row>
    <row r="192" spans="1:33" s="117" customFormat="1" ht="11.45" customHeight="1">
      <c r="A192" s="330"/>
      <c r="B192" s="46"/>
      <c r="C192" s="46"/>
      <c r="L192" s="43"/>
      <c r="M192" s="46"/>
      <c r="N192" s="46"/>
      <c r="O192" s="43"/>
      <c r="P192" s="43"/>
      <c r="Q192" s="43"/>
      <c r="R192" s="43"/>
      <c r="S192" s="46"/>
      <c r="T192" s="43"/>
      <c r="U192" s="43"/>
      <c r="V192" s="77"/>
      <c r="W192" s="43"/>
      <c r="X192" s="43"/>
      <c r="Y192" s="43"/>
      <c r="Z192" s="43"/>
      <c r="AA192" s="43"/>
      <c r="AB192" s="7"/>
      <c r="AC192" s="88"/>
      <c r="AD192" s="88"/>
      <c r="AE192" s="88"/>
      <c r="AF192" s="88"/>
      <c r="AG192" s="117">
        <v>11</v>
      </c>
    </row>
    <row r="193" spans="1:33" s="117" customFormat="1" ht="11.45" customHeight="1">
      <c r="A193" s="330"/>
      <c r="B193" s="46"/>
      <c r="C193" s="46"/>
      <c r="L193" s="43"/>
      <c r="M193" s="46"/>
      <c r="N193" s="46"/>
      <c r="O193" s="43"/>
      <c r="P193" s="43"/>
      <c r="Q193" s="43"/>
      <c r="R193" s="43"/>
      <c r="S193" s="46"/>
      <c r="T193" s="43"/>
      <c r="U193" s="43"/>
      <c r="V193" s="77"/>
      <c r="W193" s="43"/>
      <c r="X193" s="43"/>
      <c r="Y193" s="43"/>
      <c r="Z193" s="43"/>
      <c r="AA193" s="43"/>
      <c r="AB193" s="7"/>
      <c r="AC193" s="88"/>
      <c r="AD193" s="88"/>
      <c r="AE193" s="88"/>
      <c r="AF193" s="88"/>
      <c r="AG193" s="117">
        <v>11</v>
      </c>
    </row>
    <row r="194" spans="1:33" s="117" customFormat="1" ht="11.45" customHeight="1">
      <c r="A194" s="330"/>
      <c r="B194" s="46"/>
      <c r="C194" s="46"/>
      <c r="L194" s="43"/>
      <c r="M194" s="46"/>
      <c r="N194" s="46"/>
      <c r="O194" s="43"/>
      <c r="P194" s="43"/>
      <c r="Q194" s="43"/>
      <c r="R194" s="43"/>
      <c r="S194" s="46"/>
      <c r="T194" s="43"/>
      <c r="U194" s="43"/>
      <c r="V194" s="77"/>
      <c r="W194" s="43"/>
      <c r="X194" s="43"/>
      <c r="Y194" s="43"/>
      <c r="Z194" s="43"/>
      <c r="AA194" s="43"/>
      <c r="AB194" s="7"/>
      <c r="AC194" s="88"/>
      <c r="AD194" s="88"/>
      <c r="AE194" s="88"/>
      <c r="AF194" s="88"/>
      <c r="AG194" s="117">
        <v>11</v>
      </c>
    </row>
    <row r="195" spans="1:33" s="117" customFormat="1" ht="11.45" customHeight="1">
      <c r="A195" s="330"/>
      <c r="B195" s="46"/>
      <c r="C195" s="46"/>
      <c r="L195" s="43"/>
      <c r="M195" s="46"/>
      <c r="N195" s="46"/>
      <c r="O195" s="43"/>
      <c r="P195" s="43"/>
      <c r="Q195" s="43"/>
      <c r="R195" s="43"/>
      <c r="S195" s="46"/>
      <c r="T195" s="43"/>
      <c r="U195" s="43"/>
      <c r="V195" s="77"/>
      <c r="W195" s="43"/>
      <c r="X195" s="43"/>
      <c r="Y195" s="43"/>
      <c r="Z195" s="43"/>
      <c r="AA195" s="43"/>
      <c r="AB195" s="7"/>
      <c r="AC195" s="88"/>
      <c r="AD195" s="88"/>
      <c r="AE195" s="88"/>
      <c r="AF195" s="88"/>
      <c r="AG195" s="117">
        <v>11</v>
      </c>
    </row>
    <row r="196" spans="1:33" s="117" customFormat="1" ht="11.45" customHeight="1">
      <c r="A196" s="330"/>
      <c r="B196" s="46"/>
      <c r="C196" s="46"/>
      <c r="L196" s="43"/>
      <c r="M196" s="46"/>
      <c r="N196" s="46"/>
      <c r="O196" s="43"/>
      <c r="P196" s="43"/>
      <c r="Q196" s="43"/>
      <c r="R196" s="43"/>
      <c r="S196" s="46"/>
      <c r="T196" s="43"/>
      <c r="U196" s="43"/>
      <c r="V196" s="77"/>
      <c r="W196" s="43"/>
      <c r="X196" s="43"/>
      <c r="Y196" s="43"/>
      <c r="Z196" s="43"/>
      <c r="AA196" s="43"/>
      <c r="AB196" s="7"/>
      <c r="AC196" s="88"/>
      <c r="AD196" s="88"/>
      <c r="AE196" s="88"/>
      <c r="AF196" s="88"/>
      <c r="AG196" s="117">
        <v>11</v>
      </c>
    </row>
    <row r="197" spans="1:33" s="117" customFormat="1" ht="11.45" customHeight="1">
      <c r="A197" s="330"/>
      <c r="B197" s="46"/>
      <c r="C197" s="46"/>
      <c r="L197" s="43"/>
      <c r="M197" s="46"/>
      <c r="N197" s="46"/>
      <c r="O197" s="43"/>
      <c r="P197" s="43"/>
      <c r="Q197" s="43"/>
      <c r="R197" s="43"/>
      <c r="S197" s="46"/>
      <c r="T197" s="43"/>
      <c r="U197" s="43"/>
      <c r="V197" s="77"/>
      <c r="W197" s="43"/>
      <c r="X197" s="43"/>
      <c r="Y197" s="43"/>
      <c r="Z197" s="43"/>
      <c r="AA197" s="43"/>
      <c r="AB197" s="7"/>
      <c r="AC197" s="88"/>
      <c r="AD197" s="88"/>
      <c r="AE197" s="88"/>
      <c r="AF197" s="88"/>
      <c r="AG197" s="117">
        <v>11</v>
      </c>
    </row>
    <row r="198" spans="1:33" s="117" customFormat="1" ht="11.45" customHeight="1">
      <c r="A198" s="330"/>
      <c r="B198" s="46"/>
      <c r="C198" s="46"/>
      <c r="L198" s="43"/>
      <c r="M198" s="46"/>
      <c r="N198" s="46"/>
      <c r="O198" s="43"/>
      <c r="P198" s="43"/>
      <c r="Q198" s="43"/>
      <c r="R198" s="43"/>
      <c r="S198" s="46"/>
      <c r="T198" s="43"/>
      <c r="U198" s="43"/>
      <c r="V198" s="77"/>
      <c r="W198" s="43"/>
      <c r="X198" s="43"/>
      <c r="Y198" s="43"/>
      <c r="Z198" s="43"/>
      <c r="AA198" s="43"/>
      <c r="AB198" s="7"/>
      <c r="AC198" s="88"/>
      <c r="AD198" s="88"/>
      <c r="AE198" s="88"/>
      <c r="AF198" s="88"/>
      <c r="AG198" s="117">
        <v>11</v>
      </c>
    </row>
    <row r="199" spans="1:33" s="117" customFormat="1" ht="11.45" customHeight="1">
      <c r="A199" s="330"/>
      <c r="B199" s="46"/>
      <c r="C199" s="46"/>
      <c r="L199" s="43"/>
      <c r="M199" s="46"/>
      <c r="N199" s="46"/>
      <c r="O199" s="43"/>
      <c r="P199" s="43"/>
      <c r="Q199" s="43"/>
      <c r="R199" s="43"/>
      <c r="S199" s="46"/>
      <c r="T199" s="43"/>
      <c r="U199" s="43"/>
      <c r="V199" s="77"/>
      <c r="W199" s="43"/>
      <c r="X199" s="43"/>
      <c r="Y199" s="43"/>
      <c r="Z199" s="43"/>
      <c r="AA199" s="43"/>
      <c r="AB199" s="7"/>
      <c r="AC199" s="88"/>
      <c r="AD199" s="88"/>
      <c r="AE199" s="88"/>
      <c r="AF199" s="88"/>
      <c r="AG199" s="117">
        <v>11</v>
      </c>
    </row>
    <row r="200" spans="1:33" s="117" customFormat="1" ht="11.45" customHeight="1">
      <c r="A200" s="330"/>
      <c r="B200" s="46"/>
      <c r="C200" s="46"/>
      <c r="L200" s="43"/>
      <c r="M200" s="46"/>
      <c r="N200" s="46"/>
      <c r="O200" s="43"/>
      <c r="P200" s="43"/>
      <c r="Q200" s="43"/>
      <c r="R200" s="43"/>
      <c r="S200" s="46"/>
      <c r="T200" s="43"/>
      <c r="U200" s="43"/>
      <c r="V200" s="77"/>
      <c r="W200" s="43"/>
      <c r="X200" s="43"/>
      <c r="Y200" s="43"/>
      <c r="Z200" s="43"/>
      <c r="AA200" s="43"/>
      <c r="AB200" s="7"/>
      <c r="AC200" s="88"/>
      <c r="AD200" s="88"/>
      <c r="AE200" s="88"/>
      <c r="AF200" s="88"/>
      <c r="AG200" s="117">
        <v>11</v>
      </c>
    </row>
    <row r="201" spans="1:33" s="117" customFormat="1" ht="11.45" customHeight="1">
      <c r="A201" s="330"/>
      <c r="B201" s="46"/>
      <c r="C201" s="46"/>
      <c r="L201" s="43"/>
      <c r="M201" s="46"/>
      <c r="N201" s="46"/>
      <c r="O201" s="43"/>
      <c r="P201" s="43"/>
      <c r="Q201" s="43"/>
      <c r="R201" s="43"/>
      <c r="S201" s="46"/>
      <c r="T201" s="43"/>
      <c r="U201" s="43"/>
      <c r="V201" s="77"/>
      <c r="W201" s="43"/>
      <c r="X201" s="43"/>
      <c r="Y201" s="43"/>
      <c r="Z201" s="43"/>
      <c r="AA201" s="43"/>
      <c r="AB201" s="7"/>
      <c r="AC201" s="88"/>
      <c r="AD201" s="88"/>
      <c r="AE201" s="88"/>
      <c r="AF201" s="88"/>
      <c r="AG201" s="117">
        <v>11</v>
      </c>
    </row>
    <row r="202" spans="1:33" s="117" customFormat="1" ht="11.45" customHeight="1">
      <c r="A202" s="330"/>
      <c r="B202" s="46"/>
      <c r="C202" s="46"/>
      <c r="L202" s="43"/>
      <c r="M202" s="46"/>
      <c r="N202" s="46"/>
      <c r="O202" s="43"/>
      <c r="P202" s="43"/>
      <c r="Q202" s="43"/>
      <c r="R202" s="43"/>
      <c r="S202" s="46"/>
      <c r="T202" s="43"/>
      <c r="U202" s="43"/>
      <c r="V202" s="77"/>
      <c r="W202" s="43"/>
      <c r="X202" s="43"/>
      <c r="Y202" s="43"/>
      <c r="Z202" s="43"/>
      <c r="AA202" s="43"/>
      <c r="AB202" s="7"/>
      <c r="AC202" s="88"/>
      <c r="AD202" s="88"/>
      <c r="AE202" s="88"/>
      <c r="AF202" s="88"/>
      <c r="AG202" s="117">
        <v>11</v>
      </c>
    </row>
    <row r="203" spans="1:33" s="117" customFormat="1" ht="11.45" customHeight="1">
      <c r="A203" s="330"/>
      <c r="B203" s="46"/>
      <c r="C203" s="46"/>
      <c r="L203" s="43"/>
      <c r="M203" s="46"/>
      <c r="N203" s="46"/>
      <c r="O203" s="43"/>
      <c r="P203" s="43"/>
      <c r="Q203" s="43"/>
      <c r="R203" s="43"/>
      <c r="S203" s="46"/>
      <c r="T203" s="43"/>
      <c r="U203" s="43"/>
      <c r="V203" s="77"/>
      <c r="W203" s="43"/>
      <c r="X203" s="43"/>
      <c r="Y203" s="43"/>
      <c r="Z203" s="43"/>
      <c r="AA203" s="43"/>
      <c r="AB203" s="7"/>
      <c r="AC203" s="88"/>
      <c r="AD203" s="88"/>
      <c r="AE203" s="88"/>
      <c r="AF203" s="88"/>
      <c r="AG203" s="117">
        <v>11</v>
      </c>
    </row>
    <row r="204" spans="1:33" s="117" customFormat="1" ht="11.45" customHeight="1">
      <c r="A204" s="330"/>
      <c r="B204" s="46"/>
      <c r="C204" s="46"/>
      <c r="L204" s="43"/>
      <c r="M204" s="46"/>
      <c r="N204" s="46"/>
      <c r="O204" s="43"/>
      <c r="P204" s="43"/>
      <c r="Q204" s="43"/>
      <c r="R204" s="43"/>
      <c r="S204" s="46"/>
      <c r="T204" s="43"/>
      <c r="U204" s="43"/>
      <c r="V204" s="77"/>
      <c r="W204" s="43"/>
      <c r="X204" s="43"/>
      <c r="Y204" s="43"/>
      <c r="Z204" s="43"/>
      <c r="AA204" s="43"/>
      <c r="AB204" s="7"/>
      <c r="AC204" s="88"/>
      <c r="AD204" s="88"/>
      <c r="AE204" s="88"/>
      <c r="AF204" s="88"/>
      <c r="AG204" s="117">
        <v>11</v>
      </c>
    </row>
    <row r="205" spans="1:33" s="117" customFormat="1" ht="11.45" customHeight="1">
      <c r="A205" s="330"/>
      <c r="B205" s="46"/>
      <c r="C205" s="46"/>
      <c r="L205" s="43"/>
      <c r="M205" s="46"/>
      <c r="N205" s="46"/>
      <c r="O205" s="43"/>
      <c r="P205" s="43"/>
      <c r="Q205" s="43"/>
      <c r="R205" s="43"/>
      <c r="S205" s="46"/>
      <c r="T205" s="43"/>
      <c r="U205" s="43"/>
      <c r="V205" s="77"/>
      <c r="W205" s="43"/>
      <c r="X205" s="43"/>
      <c r="Y205" s="43"/>
      <c r="Z205" s="43"/>
      <c r="AA205" s="43"/>
      <c r="AB205" s="7"/>
      <c r="AC205" s="88"/>
      <c r="AD205" s="88"/>
      <c r="AE205" s="88"/>
      <c r="AF205" s="88"/>
      <c r="AG205" s="117">
        <v>11</v>
      </c>
    </row>
    <row r="206" spans="1:33" s="117" customFormat="1" ht="11.45" customHeight="1">
      <c r="A206" s="330"/>
      <c r="B206" s="46"/>
      <c r="C206" s="46"/>
      <c r="L206" s="43"/>
      <c r="M206" s="46"/>
      <c r="N206" s="46"/>
      <c r="O206" s="43"/>
      <c r="P206" s="43"/>
      <c r="Q206" s="43"/>
      <c r="R206" s="43"/>
      <c r="S206" s="46"/>
      <c r="T206" s="43"/>
      <c r="U206" s="43"/>
      <c r="V206" s="77"/>
      <c r="W206" s="43"/>
      <c r="X206" s="43"/>
      <c r="Y206" s="43"/>
      <c r="Z206" s="43"/>
      <c r="AA206" s="43"/>
      <c r="AB206" s="7"/>
      <c r="AC206" s="88"/>
      <c r="AD206" s="88"/>
      <c r="AE206" s="88"/>
      <c r="AF206" s="88"/>
      <c r="AG206" s="117">
        <v>11</v>
      </c>
    </row>
    <row r="207" spans="1:33" s="117" customFormat="1" ht="11.45" customHeight="1">
      <c r="A207" s="330"/>
      <c r="B207" s="46"/>
      <c r="C207" s="46"/>
      <c r="L207" s="43"/>
      <c r="M207" s="46"/>
      <c r="N207" s="46"/>
      <c r="O207" s="43"/>
      <c r="P207" s="43"/>
      <c r="Q207" s="43"/>
      <c r="R207" s="43"/>
      <c r="S207" s="46"/>
      <c r="T207" s="43"/>
      <c r="U207" s="43"/>
      <c r="V207" s="77"/>
      <c r="W207" s="43"/>
      <c r="X207" s="43"/>
      <c r="Y207" s="43"/>
      <c r="Z207" s="43"/>
      <c r="AA207" s="43"/>
      <c r="AB207" s="7"/>
      <c r="AC207" s="88"/>
      <c r="AD207" s="88"/>
      <c r="AE207" s="88"/>
      <c r="AF207" s="88"/>
      <c r="AG207" s="117">
        <v>11</v>
      </c>
    </row>
    <row r="208" spans="1:33" s="117" customFormat="1" ht="11.45" customHeight="1">
      <c r="A208" s="330"/>
      <c r="B208" s="46"/>
      <c r="C208" s="46"/>
      <c r="L208" s="43"/>
      <c r="M208" s="46"/>
      <c r="N208" s="46"/>
      <c r="O208" s="43"/>
      <c r="P208" s="43"/>
      <c r="Q208" s="43"/>
      <c r="R208" s="43"/>
      <c r="S208" s="46"/>
      <c r="T208" s="43"/>
      <c r="U208" s="43"/>
      <c r="V208" s="77"/>
      <c r="W208" s="43"/>
      <c r="X208" s="43"/>
      <c r="Y208" s="43"/>
      <c r="Z208" s="43"/>
      <c r="AA208" s="43"/>
      <c r="AB208" s="7"/>
      <c r="AC208" s="88"/>
      <c r="AD208" s="88"/>
      <c r="AE208" s="88"/>
      <c r="AF208" s="88"/>
      <c r="AG208" s="117">
        <v>11</v>
      </c>
    </row>
    <row r="209" spans="1:33" s="117" customFormat="1" ht="11.45" customHeight="1">
      <c r="A209" s="330"/>
      <c r="B209" s="46"/>
      <c r="C209" s="46"/>
      <c r="L209" s="43"/>
      <c r="M209" s="46"/>
      <c r="N209" s="46"/>
      <c r="O209" s="43"/>
      <c r="P209" s="43"/>
      <c r="Q209" s="43"/>
      <c r="R209" s="43"/>
      <c r="S209" s="46"/>
      <c r="T209" s="43"/>
      <c r="U209" s="43"/>
      <c r="V209" s="77"/>
      <c r="W209" s="43"/>
      <c r="X209" s="43"/>
      <c r="Y209" s="43"/>
      <c r="Z209" s="43"/>
      <c r="AA209" s="43"/>
      <c r="AB209" s="7"/>
      <c r="AC209" s="88"/>
      <c r="AD209" s="88"/>
      <c r="AE209" s="88"/>
      <c r="AF209" s="88"/>
      <c r="AG209" s="117">
        <v>11</v>
      </c>
    </row>
    <row r="210" spans="1:33" s="117" customFormat="1" ht="11.45" customHeight="1">
      <c r="A210" s="330"/>
      <c r="B210" s="46"/>
      <c r="C210" s="46"/>
      <c r="L210" s="43"/>
      <c r="M210" s="46"/>
      <c r="N210" s="46"/>
      <c r="O210" s="43"/>
      <c r="P210" s="43"/>
      <c r="Q210" s="43"/>
      <c r="R210" s="43"/>
      <c r="S210" s="46"/>
      <c r="T210" s="43"/>
      <c r="U210" s="43"/>
      <c r="V210" s="77"/>
      <c r="W210" s="43"/>
      <c r="X210" s="43"/>
      <c r="Y210" s="43"/>
      <c r="Z210" s="43"/>
      <c r="AA210" s="43"/>
      <c r="AB210" s="7"/>
      <c r="AC210" s="88"/>
      <c r="AD210" s="88"/>
      <c r="AE210" s="88"/>
      <c r="AF210" s="88"/>
      <c r="AG210" s="117">
        <v>11</v>
      </c>
    </row>
    <row r="211" spans="1:33" s="117" customFormat="1" ht="11.45" customHeight="1">
      <c r="A211" s="330"/>
      <c r="B211" s="46"/>
      <c r="C211" s="46"/>
      <c r="L211" s="43"/>
      <c r="M211" s="46"/>
      <c r="N211" s="46"/>
      <c r="O211" s="43"/>
      <c r="P211" s="43"/>
      <c r="Q211" s="43"/>
      <c r="R211" s="43"/>
      <c r="S211" s="46"/>
      <c r="T211" s="43"/>
      <c r="U211" s="43"/>
      <c r="V211" s="77"/>
      <c r="W211" s="43"/>
      <c r="X211" s="43"/>
      <c r="Y211" s="43"/>
      <c r="Z211" s="43"/>
      <c r="AA211" s="43"/>
      <c r="AB211" s="7"/>
      <c r="AC211" s="88"/>
      <c r="AD211" s="88"/>
      <c r="AE211" s="88"/>
      <c r="AF211" s="88"/>
      <c r="AG211" s="117">
        <v>11</v>
      </c>
    </row>
    <row r="212" spans="1:33" s="117" customFormat="1" ht="11.45" customHeight="1">
      <c r="A212" s="330"/>
      <c r="B212" s="46"/>
      <c r="C212" s="46"/>
      <c r="L212" s="43"/>
      <c r="M212" s="46"/>
      <c r="N212" s="46"/>
      <c r="O212" s="43"/>
      <c r="P212" s="43"/>
      <c r="Q212" s="43"/>
      <c r="R212" s="43"/>
      <c r="S212" s="46"/>
      <c r="T212" s="43"/>
      <c r="U212" s="43"/>
      <c r="V212" s="77"/>
      <c r="W212" s="43"/>
      <c r="X212" s="43"/>
      <c r="Y212" s="43"/>
      <c r="Z212" s="43"/>
      <c r="AA212" s="43"/>
      <c r="AB212" s="7"/>
      <c r="AC212" s="88"/>
      <c r="AD212" s="88"/>
      <c r="AE212" s="88"/>
      <c r="AF212" s="88"/>
      <c r="AG212" s="117">
        <v>11</v>
      </c>
    </row>
    <row r="213" spans="1:33" s="117" customFormat="1" ht="11.45" customHeight="1">
      <c r="A213" s="330"/>
      <c r="B213" s="46"/>
      <c r="C213" s="46"/>
      <c r="L213" s="43"/>
      <c r="M213" s="46"/>
      <c r="N213" s="46"/>
      <c r="O213" s="43"/>
      <c r="P213" s="43"/>
      <c r="Q213" s="43"/>
      <c r="R213" s="43"/>
      <c r="S213" s="46"/>
      <c r="T213" s="43"/>
      <c r="U213" s="43"/>
      <c r="V213" s="77"/>
      <c r="W213" s="43"/>
      <c r="X213" s="43"/>
      <c r="Y213" s="43"/>
      <c r="Z213" s="43"/>
      <c r="AA213" s="43"/>
      <c r="AB213" s="7"/>
      <c r="AC213" s="88"/>
      <c r="AD213" s="88"/>
      <c r="AE213" s="88"/>
      <c r="AF213" s="88"/>
      <c r="AG213" s="117">
        <v>11</v>
      </c>
    </row>
    <row r="214" spans="1:33" s="117" customFormat="1" ht="11.45" customHeight="1">
      <c r="A214" s="330"/>
      <c r="B214" s="46"/>
      <c r="C214" s="46"/>
      <c r="L214" s="43"/>
      <c r="M214" s="46"/>
      <c r="N214" s="46"/>
      <c r="O214" s="43"/>
      <c r="P214" s="43"/>
      <c r="Q214" s="43"/>
      <c r="R214" s="43"/>
      <c r="S214" s="46"/>
      <c r="T214" s="43"/>
      <c r="U214" s="43"/>
      <c r="V214" s="77"/>
      <c r="W214" s="43"/>
      <c r="X214" s="43"/>
      <c r="Y214" s="43"/>
      <c r="Z214" s="43"/>
      <c r="AA214" s="43"/>
      <c r="AB214" s="7"/>
      <c r="AC214" s="88"/>
      <c r="AD214" s="88"/>
      <c r="AE214" s="88"/>
      <c r="AF214" s="88"/>
      <c r="AG214" s="117">
        <v>11</v>
      </c>
    </row>
    <row r="215" spans="1:33" s="117" customFormat="1" ht="11.45" customHeight="1">
      <c r="A215" s="330"/>
      <c r="B215" s="46"/>
      <c r="C215" s="46"/>
      <c r="L215" s="43"/>
      <c r="M215" s="46"/>
      <c r="N215" s="46"/>
      <c r="O215" s="43"/>
      <c r="P215" s="43"/>
      <c r="Q215" s="43"/>
      <c r="R215" s="43"/>
      <c r="S215" s="46"/>
      <c r="T215" s="43"/>
      <c r="U215" s="43"/>
      <c r="V215" s="77"/>
      <c r="W215" s="43"/>
      <c r="X215" s="43"/>
      <c r="Y215" s="43"/>
      <c r="Z215" s="43"/>
      <c r="AA215" s="43"/>
      <c r="AB215" s="7"/>
      <c r="AC215" s="88"/>
      <c r="AD215" s="88"/>
      <c r="AE215" s="88"/>
      <c r="AF215" s="88"/>
      <c r="AG215" s="117">
        <v>11</v>
      </c>
    </row>
    <row r="216" spans="1:33" s="117" customFormat="1" ht="11.45" customHeight="1">
      <c r="A216" s="330"/>
      <c r="B216" s="46"/>
      <c r="C216" s="46"/>
      <c r="L216" s="43"/>
      <c r="M216" s="46"/>
      <c r="N216" s="46"/>
      <c r="O216" s="43"/>
      <c r="P216" s="43"/>
      <c r="Q216" s="43"/>
      <c r="R216" s="43"/>
      <c r="S216" s="46"/>
      <c r="T216" s="43"/>
      <c r="U216" s="43"/>
      <c r="V216" s="77"/>
      <c r="W216" s="43"/>
      <c r="X216" s="43"/>
      <c r="Y216" s="43"/>
      <c r="Z216" s="43"/>
      <c r="AA216" s="43"/>
      <c r="AB216" s="7"/>
      <c r="AC216" s="88"/>
      <c r="AD216" s="88"/>
      <c r="AE216" s="88"/>
      <c r="AF216" s="88"/>
      <c r="AG216" s="117">
        <v>11</v>
      </c>
    </row>
    <row r="217" spans="1:33" s="117" customFormat="1" ht="11.45" customHeight="1">
      <c r="A217" s="330"/>
      <c r="B217" s="46"/>
      <c r="C217" s="46"/>
      <c r="L217" s="43"/>
      <c r="M217" s="46"/>
      <c r="N217" s="46"/>
      <c r="O217" s="43"/>
      <c r="P217" s="43"/>
      <c r="Q217" s="43"/>
      <c r="R217" s="43"/>
      <c r="S217" s="46"/>
      <c r="T217" s="43"/>
      <c r="U217" s="43"/>
      <c r="V217" s="77"/>
      <c r="W217" s="43"/>
      <c r="X217" s="43"/>
      <c r="Y217" s="43"/>
      <c r="Z217" s="43"/>
      <c r="AA217" s="43"/>
      <c r="AB217" s="7"/>
      <c r="AC217" s="88"/>
      <c r="AD217" s="88"/>
      <c r="AE217" s="88"/>
      <c r="AF217" s="88"/>
      <c r="AG217" s="117">
        <v>11</v>
      </c>
    </row>
    <row r="218" spans="1:33" s="117" customFormat="1" ht="11.45" customHeight="1">
      <c r="A218" s="330"/>
      <c r="B218" s="46"/>
      <c r="C218" s="46"/>
      <c r="L218" s="43"/>
      <c r="M218" s="46"/>
      <c r="N218" s="46"/>
      <c r="O218" s="43"/>
      <c r="P218" s="43"/>
      <c r="Q218" s="43"/>
      <c r="R218" s="43"/>
      <c r="S218" s="46"/>
      <c r="T218" s="43"/>
      <c r="U218" s="43"/>
      <c r="V218" s="77"/>
      <c r="W218" s="43"/>
      <c r="X218" s="43"/>
      <c r="Y218" s="43"/>
      <c r="Z218" s="43"/>
      <c r="AA218" s="43"/>
      <c r="AB218" s="7"/>
      <c r="AC218" s="88"/>
      <c r="AD218" s="88"/>
      <c r="AE218" s="88"/>
      <c r="AF218" s="88"/>
      <c r="AG218" s="117">
        <v>11</v>
      </c>
    </row>
    <row r="219" spans="1:33" s="117" customFormat="1" ht="11.45" customHeight="1">
      <c r="A219" s="330"/>
      <c r="B219" s="46"/>
      <c r="C219" s="46"/>
      <c r="L219" s="43"/>
      <c r="M219" s="46"/>
      <c r="N219" s="46"/>
      <c r="O219" s="43"/>
      <c r="P219" s="43"/>
      <c r="Q219" s="43"/>
      <c r="R219" s="43"/>
      <c r="S219" s="46"/>
      <c r="T219" s="43"/>
      <c r="U219" s="43"/>
      <c r="V219" s="77"/>
      <c r="W219" s="43"/>
      <c r="X219" s="43"/>
      <c r="Y219" s="43"/>
      <c r="Z219" s="43"/>
      <c r="AA219" s="43"/>
      <c r="AB219" s="7"/>
      <c r="AC219" s="88"/>
      <c r="AD219" s="88"/>
      <c r="AE219" s="88"/>
      <c r="AF219" s="88"/>
      <c r="AG219" s="117">
        <v>11</v>
      </c>
    </row>
    <row r="220" spans="1:33" s="117" customFormat="1" ht="11.45" customHeight="1">
      <c r="A220" s="330"/>
      <c r="B220" s="46"/>
      <c r="C220" s="46"/>
      <c r="L220" s="43"/>
      <c r="M220" s="46"/>
      <c r="N220" s="46"/>
      <c r="O220" s="43"/>
      <c r="P220" s="43"/>
      <c r="Q220" s="43"/>
      <c r="R220" s="43"/>
      <c r="S220" s="46"/>
      <c r="T220" s="43"/>
      <c r="U220" s="43"/>
      <c r="V220" s="77"/>
      <c r="W220" s="43"/>
      <c r="X220" s="43"/>
      <c r="Y220" s="43"/>
      <c r="Z220" s="43"/>
      <c r="AA220" s="43"/>
      <c r="AB220" s="7"/>
      <c r="AC220" s="88"/>
      <c r="AD220" s="88"/>
      <c r="AE220" s="88"/>
      <c r="AF220" s="88"/>
      <c r="AG220" s="117">
        <v>11</v>
      </c>
    </row>
    <row r="221" spans="1:33" s="117" customFormat="1" ht="11.45" customHeight="1">
      <c r="A221" s="330"/>
      <c r="B221" s="46"/>
      <c r="C221" s="46"/>
      <c r="L221" s="43"/>
      <c r="M221" s="46"/>
      <c r="N221" s="46"/>
      <c r="O221" s="43"/>
      <c r="P221" s="43"/>
      <c r="Q221" s="43"/>
      <c r="R221" s="43"/>
      <c r="S221" s="46"/>
      <c r="T221" s="43"/>
      <c r="U221" s="43"/>
      <c r="V221" s="77"/>
      <c r="W221" s="43"/>
      <c r="X221" s="43"/>
      <c r="Y221" s="43"/>
      <c r="Z221" s="43"/>
      <c r="AA221" s="43"/>
      <c r="AB221" s="7"/>
      <c r="AC221" s="88"/>
      <c r="AD221" s="88"/>
      <c r="AE221" s="88"/>
      <c r="AF221" s="88"/>
      <c r="AG221" s="117">
        <v>11</v>
      </c>
    </row>
    <row r="222" spans="1:33" s="117" customFormat="1" ht="11.45" customHeight="1">
      <c r="A222" s="330"/>
      <c r="B222" s="46"/>
      <c r="C222" s="46"/>
      <c r="L222" s="43"/>
      <c r="M222" s="46"/>
      <c r="N222" s="46"/>
      <c r="O222" s="43"/>
      <c r="P222" s="43"/>
      <c r="Q222" s="43"/>
      <c r="R222" s="43"/>
      <c r="S222" s="46"/>
      <c r="T222" s="43"/>
      <c r="U222" s="43"/>
      <c r="V222" s="77"/>
      <c r="W222" s="43"/>
      <c r="X222" s="43"/>
      <c r="Y222" s="43"/>
      <c r="Z222" s="43"/>
      <c r="AA222" s="43"/>
      <c r="AB222" s="7"/>
      <c r="AC222" s="88"/>
      <c r="AD222" s="88"/>
      <c r="AE222" s="88"/>
      <c r="AF222" s="88"/>
      <c r="AG222" s="117">
        <v>11</v>
      </c>
    </row>
    <row r="223" spans="1:33" s="117" customFormat="1" ht="11.45" customHeight="1">
      <c r="A223" s="330"/>
      <c r="B223" s="46"/>
      <c r="C223" s="46"/>
      <c r="L223" s="43"/>
      <c r="M223" s="46"/>
      <c r="N223" s="46"/>
      <c r="O223" s="43"/>
      <c r="P223" s="43"/>
      <c r="Q223" s="43"/>
      <c r="R223" s="43"/>
      <c r="S223" s="46"/>
      <c r="T223" s="43"/>
      <c r="U223" s="43"/>
      <c r="V223" s="77"/>
      <c r="W223" s="43"/>
      <c r="X223" s="43"/>
      <c r="Y223" s="43"/>
      <c r="Z223" s="43"/>
      <c r="AA223" s="43"/>
      <c r="AB223" s="7"/>
      <c r="AC223" s="88"/>
      <c r="AD223" s="88"/>
      <c r="AE223" s="88"/>
      <c r="AF223" s="88"/>
      <c r="AG223" s="117">
        <v>11</v>
      </c>
    </row>
    <row r="224" spans="1:33" s="117" customFormat="1" ht="11.45" customHeight="1">
      <c r="A224" s="330"/>
      <c r="B224" s="46"/>
      <c r="C224" s="46"/>
      <c r="L224" s="43"/>
      <c r="M224" s="46"/>
      <c r="N224" s="46"/>
      <c r="O224" s="43"/>
      <c r="P224" s="43"/>
      <c r="Q224" s="43"/>
      <c r="R224" s="43"/>
      <c r="S224" s="46"/>
      <c r="T224" s="43"/>
      <c r="U224" s="43"/>
      <c r="V224" s="77"/>
      <c r="W224" s="43"/>
      <c r="X224" s="43"/>
      <c r="Y224" s="43"/>
      <c r="Z224" s="43"/>
      <c r="AA224" s="43"/>
      <c r="AB224" s="7"/>
      <c r="AC224" s="88"/>
      <c r="AD224" s="88"/>
      <c r="AE224" s="88"/>
      <c r="AF224" s="88"/>
      <c r="AG224" s="117">
        <v>11</v>
      </c>
    </row>
    <row r="225" spans="1:33" s="117" customFormat="1" ht="11.45" customHeight="1">
      <c r="A225" s="330"/>
      <c r="B225" s="46"/>
      <c r="C225" s="46"/>
      <c r="L225" s="43"/>
      <c r="M225" s="46"/>
      <c r="N225" s="46"/>
      <c r="O225" s="43"/>
      <c r="P225" s="43"/>
      <c r="Q225" s="43"/>
      <c r="R225" s="43"/>
      <c r="S225" s="46"/>
      <c r="T225" s="43"/>
      <c r="U225" s="43"/>
      <c r="V225" s="77"/>
      <c r="W225" s="43"/>
      <c r="X225" s="43"/>
      <c r="Y225" s="43"/>
      <c r="Z225" s="43"/>
      <c r="AA225" s="43"/>
      <c r="AB225" s="7"/>
      <c r="AC225" s="88"/>
      <c r="AD225" s="88"/>
      <c r="AE225" s="88"/>
      <c r="AF225" s="88"/>
      <c r="AG225" s="117">
        <v>11</v>
      </c>
    </row>
    <row r="226" spans="1:33" s="117" customFormat="1" ht="11.45" customHeight="1">
      <c r="A226" s="330"/>
      <c r="B226" s="46"/>
      <c r="C226" s="46"/>
      <c r="L226" s="43"/>
      <c r="M226" s="46"/>
      <c r="N226" s="46"/>
      <c r="O226" s="43"/>
      <c r="P226" s="43"/>
      <c r="Q226" s="43"/>
      <c r="R226" s="43"/>
      <c r="S226" s="46"/>
      <c r="T226" s="43"/>
      <c r="U226" s="43"/>
      <c r="V226" s="77"/>
      <c r="W226" s="43"/>
      <c r="X226" s="43"/>
      <c r="Y226" s="43"/>
      <c r="Z226" s="43"/>
      <c r="AA226" s="43"/>
      <c r="AB226" s="7"/>
      <c r="AC226" s="88"/>
      <c r="AD226" s="88"/>
      <c r="AE226" s="88"/>
      <c r="AF226" s="88"/>
      <c r="AG226" s="117">
        <v>11</v>
      </c>
    </row>
    <row r="227" spans="1:33" s="117" customFormat="1" ht="11.45" customHeight="1">
      <c r="A227" s="330"/>
      <c r="B227" s="46"/>
      <c r="C227" s="46"/>
      <c r="L227" s="43"/>
      <c r="M227" s="46"/>
      <c r="N227" s="46"/>
      <c r="O227" s="43"/>
      <c r="P227" s="43"/>
      <c r="Q227" s="43"/>
      <c r="R227" s="43"/>
      <c r="S227" s="46"/>
      <c r="T227" s="43"/>
      <c r="U227" s="43"/>
      <c r="V227" s="77"/>
      <c r="W227" s="43"/>
      <c r="X227" s="43"/>
      <c r="Y227" s="43"/>
      <c r="Z227" s="43"/>
      <c r="AA227" s="43"/>
      <c r="AB227" s="7"/>
      <c r="AC227" s="88"/>
      <c r="AD227" s="88"/>
      <c r="AE227" s="88"/>
      <c r="AF227" s="88"/>
      <c r="AG227" s="117">
        <v>11</v>
      </c>
    </row>
    <row r="228" spans="1:33" s="117" customFormat="1" ht="11.45" customHeight="1">
      <c r="A228" s="330"/>
      <c r="B228" s="46"/>
      <c r="C228" s="46"/>
      <c r="L228" s="43"/>
      <c r="M228" s="46"/>
      <c r="N228" s="46"/>
      <c r="O228" s="43"/>
      <c r="P228" s="43"/>
      <c r="Q228" s="43"/>
      <c r="R228" s="43"/>
      <c r="S228" s="46"/>
      <c r="T228" s="43"/>
      <c r="U228" s="43"/>
      <c r="V228" s="77"/>
      <c r="W228" s="43"/>
      <c r="X228" s="43"/>
      <c r="Y228" s="43"/>
      <c r="Z228" s="43"/>
      <c r="AA228" s="43"/>
      <c r="AB228" s="7"/>
      <c r="AC228" s="88"/>
      <c r="AD228" s="88"/>
      <c r="AE228" s="88"/>
      <c r="AF228" s="88"/>
      <c r="AG228" s="117">
        <v>11</v>
      </c>
    </row>
    <row r="229" spans="1:33" s="117" customFormat="1" ht="11.45" customHeight="1">
      <c r="A229" s="330"/>
      <c r="B229" s="46"/>
      <c r="C229" s="46"/>
      <c r="L229" s="43"/>
      <c r="M229" s="46"/>
      <c r="N229" s="46"/>
      <c r="O229" s="43"/>
      <c r="P229" s="43"/>
      <c r="Q229" s="43"/>
      <c r="R229" s="43"/>
      <c r="S229" s="46"/>
      <c r="T229" s="43"/>
      <c r="U229" s="43"/>
      <c r="V229" s="77"/>
      <c r="W229" s="43"/>
      <c r="X229" s="43"/>
      <c r="Y229" s="43"/>
      <c r="Z229" s="43"/>
      <c r="AA229" s="43"/>
      <c r="AB229" s="7"/>
      <c r="AC229" s="88"/>
      <c r="AD229" s="88"/>
      <c r="AE229" s="88"/>
      <c r="AF229" s="88"/>
      <c r="AG229" s="117">
        <v>11</v>
      </c>
    </row>
    <row r="230" spans="1:33" s="117" customFormat="1" ht="11.45" customHeight="1">
      <c r="A230" s="330"/>
      <c r="B230" s="46"/>
      <c r="C230" s="46"/>
      <c r="L230" s="43"/>
      <c r="M230" s="46"/>
      <c r="N230" s="46"/>
      <c r="O230" s="43"/>
      <c r="P230" s="43"/>
      <c r="Q230" s="43"/>
      <c r="R230" s="43"/>
      <c r="S230" s="46"/>
      <c r="T230" s="43"/>
      <c r="U230" s="43"/>
      <c r="V230" s="77"/>
      <c r="W230" s="43"/>
      <c r="X230" s="43"/>
      <c r="Y230" s="43"/>
      <c r="Z230" s="43"/>
      <c r="AA230" s="43"/>
      <c r="AB230" s="7"/>
      <c r="AC230" s="88"/>
      <c r="AD230" s="88"/>
      <c r="AE230" s="88"/>
      <c r="AF230" s="88"/>
      <c r="AG230" s="117">
        <v>11</v>
      </c>
    </row>
    <row r="231" spans="1:33" s="117" customFormat="1" ht="11.45" customHeight="1">
      <c r="A231" s="330"/>
      <c r="B231" s="46"/>
      <c r="C231" s="46"/>
      <c r="L231" s="43"/>
      <c r="M231" s="46"/>
      <c r="N231" s="46"/>
      <c r="O231" s="43"/>
      <c r="P231" s="43"/>
      <c r="Q231" s="43"/>
      <c r="R231" s="43"/>
      <c r="S231" s="46"/>
      <c r="T231" s="43"/>
      <c r="U231" s="43"/>
      <c r="V231" s="77"/>
      <c r="W231" s="43"/>
      <c r="X231" s="43"/>
      <c r="Y231" s="43"/>
      <c r="Z231" s="43"/>
      <c r="AA231" s="43"/>
      <c r="AB231" s="7"/>
      <c r="AC231" s="88"/>
      <c r="AD231" s="88"/>
      <c r="AE231" s="88"/>
      <c r="AF231" s="88"/>
      <c r="AG231" s="117">
        <v>11</v>
      </c>
    </row>
    <row r="232" spans="1:33" s="117" customFormat="1" ht="11.45" customHeight="1">
      <c r="A232" s="330"/>
      <c r="B232" s="46"/>
      <c r="C232" s="46"/>
      <c r="L232" s="43"/>
      <c r="M232" s="46"/>
      <c r="N232" s="46"/>
      <c r="O232" s="43"/>
      <c r="P232" s="43"/>
      <c r="Q232" s="43"/>
      <c r="R232" s="43"/>
      <c r="S232" s="46"/>
      <c r="T232" s="43"/>
      <c r="U232" s="43"/>
      <c r="V232" s="77"/>
      <c r="W232" s="43"/>
      <c r="X232" s="43"/>
      <c r="Y232" s="43"/>
      <c r="Z232" s="43"/>
      <c r="AA232" s="43"/>
      <c r="AB232" s="7"/>
      <c r="AC232" s="88"/>
      <c r="AD232" s="88"/>
      <c r="AE232" s="88"/>
      <c r="AF232" s="88"/>
      <c r="AG232" s="117">
        <v>11</v>
      </c>
    </row>
    <row r="233" spans="1:33" s="117" customFormat="1" ht="11.45" customHeight="1">
      <c r="A233" s="330"/>
      <c r="B233" s="46"/>
      <c r="C233" s="46"/>
      <c r="L233" s="43"/>
      <c r="M233" s="46"/>
      <c r="N233" s="46"/>
      <c r="O233" s="43"/>
      <c r="P233" s="43"/>
      <c r="Q233" s="43"/>
      <c r="R233" s="43"/>
      <c r="S233" s="46"/>
      <c r="T233" s="43"/>
      <c r="U233" s="43"/>
      <c r="V233" s="77"/>
      <c r="W233" s="43"/>
      <c r="X233" s="43"/>
      <c r="Y233" s="43"/>
      <c r="Z233" s="43"/>
      <c r="AA233" s="43"/>
      <c r="AB233" s="7"/>
      <c r="AC233" s="88"/>
      <c r="AD233" s="88"/>
      <c r="AE233" s="88"/>
      <c r="AF233" s="88"/>
      <c r="AG233" s="117">
        <v>11</v>
      </c>
    </row>
    <row r="234" spans="1:33" s="117" customFormat="1" ht="11.45" customHeight="1">
      <c r="A234" s="330"/>
      <c r="B234" s="46"/>
      <c r="C234" s="46"/>
      <c r="L234" s="43"/>
      <c r="M234" s="46"/>
      <c r="N234" s="46"/>
      <c r="O234" s="43"/>
      <c r="P234" s="43"/>
      <c r="Q234" s="43"/>
      <c r="R234" s="43"/>
      <c r="S234" s="46"/>
      <c r="T234" s="43"/>
      <c r="U234" s="43"/>
      <c r="V234" s="77"/>
      <c r="W234" s="43"/>
      <c r="X234" s="43"/>
      <c r="Y234" s="43"/>
      <c r="Z234" s="43"/>
      <c r="AA234" s="43"/>
      <c r="AB234" s="7"/>
      <c r="AC234" s="88"/>
      <c r="AD234" s="88"/>
      <c r="AE234" s="88"/>
      <c r="AF234" s="88"/>
      <c r="AG234" s="117">
        <v>11</v>
      </c>
    </row>
    <row r="235" spans="1:33" s="117" customFormat="1" ht="11.45" customHeight="1">
      <c r="A235" s="330"/>
      <c r="B235" s="46"/>
      <c r="C235" s="46"/>
      <c r="L235" s="43"/>
      <c r="M235" s="46"/>
      <c r="N235" s="46"/>
      <c r="O235" s="43"/>
      <c r="P235" s="43"/>
      <c r="Q235" s="43"/>
      <c r="R235" s="43"/>
      <c r="S235" s="46"/>
      <c r="T235" s="43"/>
      <c r="U235" s="43"/>
      <c r="V235" s="77"/>
      <c r="W235" s="43"/>
      <c r="X235" s="43"/>
      <c r="Y235" s="43"/>
      <c r="Z235" s="43"/>
      <c r="AA235" s="43"/>
      <c r="AB235" s="7"/>
      <c r="AC235" s="88"/>
      <c r="AD235" s="88"/>
      <c r="AE235" s="88"/>
      <c r="AF235" s="88"/>
      <c r="AG235" s="117">
        <v>11</v>
      </c>
    </row>
    <row r="236" spans="1:33" s="117" customFormat="1" ht="11.45" customHeight="1">
      <c r="A236" s="330"/>
      <c r="B236" s="46"/>
      <c r="C236" s="46"/>
      <c r="L236" s="43"/>
      <c r="M236" s="46"/>
      <c r="N236" s="46"/>
      <c r="O236" s="43"/>
      <c r="P236" s="43"/>
      <c r="Q236" s="43"/>
      <c r="R236" s="43"/>
      <c r="S236" s="46"/>
      <c r="T236" s="43"/>
      <c r="U236" s="43"/>
      <c r="V236" s="77"/>
      <c r="W236" s="43"/>
      <c r="X236" s="43"/>
      <c r="Y236" s="43"/>
      <c r="Z236" s="43"/>
      <c r="AA236" s="43"/>
      <c r="AB236" s="7"/>
      <c r="AC236" s="88"/>
      <c r="AD236" s="88"/>
      <c r="AE236" s="88"/>
      <c r="AF236" s="88"/>
      <c r="AG236" s="117">
        <v>11</v>
      </c>
    </row>
    <row r="237" spans="1:33" s="117" customFormat="1" ht="11.45" customHeight="1">
      <c r="A237" s="330"/>
      <c r="B237" s="46"/>
      <c r="C237" s="46"/>
      <c r="L237" s="43"/>
      <c r="M237" s="46"/>
      <c r="N237" s="46"/>
      <c r="O237" s="43"/>
      <c r="P237" s="43"/>
      <c r="Q237" s="43"/>
      <c r="R237" s="43"/>
      <c r="S237" s="46"/>
      <c r="T237" s="43"/>
      <c r="U237" s="43"/>
      <c r="V237" s="77"/>
      <c r="W237" s="43"/>
      <c r="X237" s="43"/>
      <c r="Y237" s="43"/>
      <c r="Z237" s="43"/>
      <c r="AA237" s="43"/>
      <c r="AB237" s="7"/>
      <c r="AC237" s="88"/>
      <c r="AD237" s="88"/>
      <c r="AE237" s="88"/>
      <c r="AF237" s="88"/>
      <c r="AG237" s="117">
        <v>11</v>
      </c>
    </row>
    <row r="238" spans="1:33" s="117" customFormat="1" ht="11.45" customHeight="1">
      <c r="A238" s="330"/>
      <c r="B238" s="46"/>
      <c r="C238" s="46"/>
      <c r="L238" s="43"/>
      <c r="M238" s="46"/>
      <c r="N238" s="46"/>
      <c r="O238" s="43"/>
      <c r="P238" s="43"/>
      <c r="Q238" s="43"/>
      <c r="R238" s="43"/>
      <c r="S238" s="46"/>
      <c r="T238" s="43"/>
      <c r="U238" s="43"/>
      <c r="V238" s="77"/>
      <c r="W238" s="43"/>
      <c r="X238" s="43"/>
      <c r="Y238" s="43"/>
      <c r="Z238" s="43"/>
      <c r="AA238" s="43"/>
      <c r="AB238" s="7"/>
      <c r="AC238" s="88"/>
      <c r="AD238" s="88"/>
      <c r="AE238" s="88"/>
      <c r="AF238" s="88"/>
      <c r="AG238" s="117">
        <v>11</v>
      </c>
    </row>
    <row r="239" spans="1:33" s="117" customFormat="1" ht="11.45" customHeight="1">
      <c r="A239" s="330"/>
      <c r="B239" s="46"/>
      <c r="C239" s="46"/>
      <c r="L239" s="43"/>
      <c r="M239" s="46"/>
      <c r="N239" s="46"/>
      <c r="O239" s="43"/>
      <c r="P239" s="43"/>
      <c r="Q239" s="43"/>
      <c r="R239" s="43"/>
      <c r="S239" s="46"/>
      <c r="T239" s="43"/>
      <c r="U239" s="43"/>
      <c r="V239" s="77"/>
      <c r="W239" s="43"/>
      <c r="X239" s="43"/>
      <c r="Y239" s="43"/>
      <c r="Z239" s="43"/>
      <c r="AA239" s="43"/>
      <c r="AB239" s="7"/>
      <c r="AC239" s="88"/>
      <c r="AD239" s="88"/>
      <c r="AE239" s="88"/>
      <c r="AF239" s="88"/>
      <c r="AG239" s="117">
        <v>11</v>
      </c>
    </row>
    <row r="240" spans="1:33" s="117" customFormat="1" ht="11.45" customHeight="1">
      <c r="A240" s="330"/>
      <c r="B240" s="46"/>
      <c r="C240" s="46"/>
      <c r="L240" s="43"/>
      <c r="M240" s="46"/>
      <c r="N240" s="46"/>
      <c r="O240" s="43"/>
      <c r="P240" s="43"/>
      <c r="Q240" s="43"/>
      <c r="R240" s="43"/>
      <c r="S240" s="46"/>
      <c r="T240" s="43"/>
      <c r="U240" s="43"/>
      <c r="V240" s="77"/>
      <c r="W240" s="43"/>
      <c r="X240" s="43"/>
      <c r="Y240" s="43"/>
      <c r="Z240" s="43"/>
      <c r="AA240" s="43"/>
      <c r="AB240" s="7"/>
      <c r="AC240" s="88"/>
      <c r="AD240" s="88"/>
      <c r="AE240" s="88"/>
      <c r="AF240" s="88"/>
      <c r="AG240" s="117">
        <v>11</v>
      </c>
    </row>
    <row r="241" spans="1:33" s="117" customFormat="1" ht="11.45" customHeight="1">
      <c r="A241" s="330"/>
      <c r="B241" s="46"/>
      <c r="C241" s="46"/>
      <c r="L241" s="43"/>
      <c r="M241" s="46"/>
      <c r="N241" s="46"/>
      <c r="O241" s="43"/>
      <c r="P241" s="43"/>
      <c r="Q241" s="43"/>
      <c r="R241" s="43"/>
      <c r="S241" s="46"/>
      <c r="T241" s="43"/>
      <c r="U241" s="43"/>
      <c r="V241" s="77"/>
      <c r="W241" s="43"/>
      <c r="X241" s="43"/>
      <c r="Y241" s="43"/>
      <c r="Z241" s="43"/>
      <c r="AA241" s="43"/>
      <c r="AB241" s="7"/>
      <c r="AC241" s="88"/>
      <c r="AD241" s="88"/>
      <c r="AE241" s="88"/>
      <c r="AF241" s="88"/>
      <c r="AG241" s="117">
        <v>11</v>
      </c>
    </row>
    <row r="242" spans="1:33" s="117" customFormat="1" ht="11.45" customHeight="1">
      <c r="A242" s="330"/>
      <c r="B242" s="46"/>
      <c r="C242" s="46"/>
      <c r="L242" s="43"/>
      <c r="M242" s="46"/>
      <c r="N242" s="46"/>
      <c r="O242" s="43"/>
      <c r="P242" s="43"/>
      <c r="Q242" s="43"/>
      <c r="R242" s="43"/>
      <c r="S242" s="46"/>
      <c r="T242" s="43"/>
      <c r="U242" s="43"/>
      <c r="V242" s="77"/>
      <c r="W242" s="43"/>
      <c r="X242" s="43"/>
      <c r="Y242" s="43"/>
      <c r="Z242" s="43"/>
      <c r="AA242" s="43"/>
      <c r="AB242" s="7"/>
      <c r="AC242" s="88"/>
      <c r="AD242" s="88"/>
      <c r="AE242" s="88"/>
      <c r="AF242" s="88"/>
      <c r="AG242" s="117">
        <v>11</v>
      </c>
    </row>
    <row r="243" spans="1:33" s="117" customFormat="1" ht="11.45" customHeight="1">
      <c r="A243" s="330"/>
      <c r="B243" s="46"/>
      <c r="C243" s="46"/>
      <c r="L243" s="43"/>
      <c r="M243" s="46"/>
      <c r="N243" s="46"/>
      <c r="O243" s="43"/>
      <c r="P243" s="43"/>
      <c r="Q243" s="43"/>
      <c r="R243" s="43"/>
      <c r="S243" s="46"/>
      <c r="T243" s="43"/>
      <c r="U243" s="43"/>
      <c r="V243" s="77"/>
      <c r="W243" s="43"/>
      <c r="X243" s="43"/>
      <c r="Y243" s="43"/>
      <c r="Z243" s="43"/>
      <c r="AA243" s="43"/>
      <c r="AB243" s="7"/>
      <c r="AC243" s="88"/>
      <c r="AD243" s="88"/>
      <c r="AE243" s="88"/>
      <c r="AF243" s="88"/>
      <c r="AG243" s="117">
        <v>11</v>
      </c>
    </row>
    <row r="244" spans="1:33" s="117" customFormat="1" ht="11.45" customHeight="1">
      <c r="A244" s="330"/>
      <c r="B244" s="46"/>
      <c r="C244" s="46"/>
      <c r="L244" s="43"/>
      <c r="M244" s="46"/>
      <c r="N244" s="46"/>
      <c r="O244" s="43"/>
      <c r="P244" s="43"/>
      <c r="Q244" s="43"/>
      <c r="R244" s="43"/>
      <c r="S244" s="46"/>
      <c r="T244" s="43"/>
      <c r="U244" s="43"/>
      <c r="V244" s="77"/>
      <c r="W244" s="43"/>
      <c r="X244" s="43"/>
      <c r="Y244" s="43"/>
      <c r="Z244" s="43"/>
      <c r="AA244" s="43"/>
      <c r="AB244" s="7"/>
      <c r="AC244" s="88"/>
      <c r="AD244" s="88"/>
      <c r="AE244" s="88"/>
      <c r="AF244" s="88"/>
      <c r="AG244" s="117">
        <v>11</v>
      </c>
    </row>
    <row r="245" spans="1:33" s="117" customFormat="1" ht="11.45" customHeight="1">
      <c r="A245" s="330"/>
      <c r="B245" s="46"/>
      <c r="C245" s="46"/>
      <c r="L245" s="43"/>
      <c r="M245" s="46"/>
      <c r="N245" s="46"/>
      <c r="O245" s="43"/>
      <c r="P245" s="43"/>
      <c r="Q245" s="43"/>
      <c r="R245" s="43"/>
      <c r="S245" s="46"/>
      <c r="T245" s="43"/>
      <c r="U245" s="43"/>
      <c r="V245" s="77"/>
      <c r="W245" s="43"/>
      <c r="X245" s="43"/>
      <c r="Y245" s="43"/>
      <c r="Z245" s="43"/>
      <c r="AA245" s="43"/>
      <c r="AB245" s="7"/>
      <c r="AC245" s="88"/>
      <c r="AD245" s="88"/>
      <c r="AE245" s="88"/>
      <c r="AF245" s="88"/>
      <c r="AG245" s="117">
        <v>11</v>
      </c>
    </row>
    <row r="246" spans="1:33" s="117" customFormat="1" ht="11.45" customHeight="1">
      <c r="A246" s="330"/>
      <c r="B246" s="46"/>
      <c r="C246" s="46"/>
      <c r="L246" s="43"/>
      <c r="M246" s="46"/>
      <c r="N246" s="46"/>
      <c r="O246" s="43"/>
      <c r="P246" s="43"/>
      <c r="Q246" s="43"/>
      <c r="R246" s="43"/>
      <c r="S246" s="46"/>
      <c r="T246" s="43"/>
      <c r="U246" s="43"/>
      <c r="V246" s="77"/>
      <c r="W246" s="43"/>
      <c r="X246" s="43"/>
      <c r="Y246" s="43"/>
      <c r="Z246" s="43"/>
      <c r="AA246" s="43"/>
      <c r="AB246" s="7"/>
      <c r="AC246" s="88"/>
      <c r="AD246" s="88"/>
      <c r="AE246" s="88"/>
      <c r="AF246" s="88"/>
      <c r="AG246" s="117">
        <v>11</v>
      </c>
    </row>
    <row r="247" spans="1:33" s="117" customFormat="1" ht="11.45" customHeight="1">
      <c r="A247" s="330"/>
      <c r="B247" s="46"/>
      <c r="C247" s="46"/>
      <c r="L247" s="43"/>
      <c r="M247" s="46"/>
      <c r="N247" s="46"/>
      <c r="O247" s="43"/>
      <c r="P247" s="43"/>
      <c r="Q247" s="43"/>
      <c r="R247" s="43"/>
      <c r="S247" s="46"/>
      <c r="T247" s="43"/>
      <c r="U247" s="43"/>
      <c r="V247" s="77"/>
      <c r="W247" s="43"/>
      <c r="X247" s="43"/>
      <c r="Y247" s="43"/>
      <c r="Z247" s="43"/>
      <c r="AA247" s="43"/>
      <c r="AB247" s="7"/>
      <c r="AC247" s="88"/>
      <c r="AD247" s="88"/>
      <c r="AE247" s="88"/>
      <c r="AF247" s="88"/>
      <c r="AG247" s="117">
        <v>11</v>
      </c>
    </row>
    <row r="248" spans="1:33" s="117" customFormat="1" ht="11.45" customHeight="1">
      <c r="A248" s="330"/>
      <c r="B248" s="46"/>
      <c r="C248" s="46"/>
      <c r="L248" s="43"/>
      <c r="M248" s="46"/>
      <c r="N248" s="46"/>
      <c r="O248" s="43"/>
      <c r="P248" s="43"/>
      <c r="Q248" s="43"/>
      <c r="R248" s="43"/>
      <c r="S248" s="46"/>
      <c r="T248" s="43"/>
      <c r="U248" s="43"/>
      <c r="V248" s="77"/>
      <c r="W248" s="43"/>
      <c r="X248" s="43"/>
      <c r="Y248" s="43"/>
      <c r="Z248" s="43"/>
      <c r="AA248" s="43"/>
      <c r="AB248" s="7"/>
      <c r="AC248" s="88"/>
      <c r="AD248" s="88"/>
      <c r="AE248" s="88"/>
      <c r="AF248" s="88"/>
      <c r="AG248" s="117">
        <v>11</v>
      </c>
    </row>
    <row r="249" spans="1:33" s="117" customFormat="1" ht="11.45" customHeight="1">
      <c r="A249" s="330"/>
      <c r="B249" s="46"/>
      <c r="C249" s="46"/>
      <c r="L249" s="43"/>
      <c r="M249" s="46"/>
      <c r="N249" s="46"/>
      <c r="O249" s="43"/>
      <c r="P249" s="43"/>
      <c r="Q249" s="43"/>
      <c r="R249" s="43"/>
      <c r="S249" s="46"/>
      <c r="T249" s="43"/>
      <c r="U249" s="43"/>
      <c r="V249" s="77"/>
      <c r="W249" s="43"/>
      <c r="X249" s="43"/>
      <c r="Y249" s="43"/>
      <c r="Z249" s="43"/>
      <c r="AA249" s="43"/>
      <c r="AB249" s="7"/>
      <c r="AC249" s="88"/>
      <c r="AD249" s="88"/>
      <c r="AE249" s="88"/>
      <c r="AF249" s="88"/>
      <c r="AG249" s="117">
        <v>11</v>
      </c>
    </row>
    <row r="250" spans="1:33" s="117" customFormat="1" ht="11.45" customHeight="1">
      <c r="A250" s="330"/>
      <c r="B250" s="46"/>
      <c r="C250" s="46"/>
      <c r="L250" s="43"/>
      <c r="M250" s="46"/>
      <c r="N250" s="46"/>
      <c r="O250" s="43"/>
      <c r="P250" s="43"/>
      <c r="Q250" s="43"/>
      <c r="R250" s="43"/>
      <c r="S250" s="46"/>
      <c r="T250" s="43"/>
      <c r="U250" s="43"/>
      <c r="V250" s="77"/>
      <c r="W250" s="43"/>
      <c r="X250" s="43"/>
      <c r="Y250" s="43"/>
      <c r="Z250" s="43"/>
      <c r="AA250" s="43"/>
      <c r="AB250" s="7"/>
      <c r="AC250" s="88"/>
      <c r="AD250" s="88"/>
      <c r="AE250" s="88"/>
      <c r="AF250" s="88"/>
      <c r="AG250" s="117">
        <v>11</v>
      </c>
    </row>
    <row r="251" spans="1:33" s="117" customFormat="1" ht="11.45" customHeight="1">
      <c r="A251" s="330"/>
      <c r="B251" s="46"/>
      <c r="C251" s="46"/>
      <c r="L251" s="43"/>
      <c r="M251" s="46"/>
      <c r="N251" s="46"/>
      <c r="O251" s="43"/>
      <c r="P251" s="43"/>
      <c r="Q251" s="43"/>
      <c r="R251" s="43"/>
      <c r="S251" s="46"/>
      <c r="T251" s="43"/>
      <c r="U251" s="43"/>
      <c r="V251" s="77"/>
      <c r="W251" s="43"/>
      <c r="X251" s="43"/>
      <c r="Y251" s="43"/>
      <c r="Z251" s="43"/>
      <c r="AA251" s="43"/>
      <c r="AB251" s="7"/>
      <c r="AC251" s="88"/>
      <c r="AD251" s="88"/>
      <c r="AE251" s="88"/>
      <c r="AF251" s="88"/>
      <c r="AG251" s="117">
        <v>11</v>
      </c>
    </row>
    <row r="252" spans="1:33" s="117" customFormat="1" ht="11.45" customHeight="1">
      <c r="A252" s="330"/>
      <c r="B252" s="46"/>
      <c r="C252" s="46"/>
      <c r="L252" s="43"/>
      <c r="M252" s="46"/>
      <c r="N252" s="46"/>
      <c r="O252" s="43"/>
      <c r="P252" s="43"/>
      <c r="Q252" s="43"/>
      <c r="R252" s="43"/>
      <c r="S252" s="46"/>
      <c r="T252" s="43"/>
      <c r="U252" s="43"/>
      <c r="V252" s="77"/>
      <c r="W252" s="43"/>
      <c r="X252" s="43"/>
      <c r="Y252" s="43"/>
      <c r="Z252" s="43"/>
      <c r="AA252" s="43"/>
      <c r="AB252" s="7"/>
      <c r="AC252" s="88"/>
      <c r="AD252" s="88"/>
      <c r="AE252" s="88"/>
      <c r="AF252" s="88"/>
      <c r="AG252" s="117">
        <v>11</v>
      </c>
    </row>
    <row r="253" spans="1:33" s="117" customFormat="1" ht="11.45" customHeight="1">
      <c r="A253" s="330"/>
      <c r="B253" s="46"/>
      <c r="C253" s="46"/>
      <c r="L253" s="43"/>
      <c r="M253" s="46"/>
      <c r="N253" s="46"/>
      <c r="O253" s="43"/>
      <c r="P253" s="43"/>
      <c r="Q253" s="43"/>
      <c r="R253" s="43"/>
      <c r="S253" s="46"/>
      <c r="T253" s="43"/>
      <c r="U253" s="43"/>
      <c r="V253" s="77"/>
      <c r="W253" s="43"/>
      <c r="X253" s="43"/>
      <c r="Y253" s="43"/>
      <c r="Z253" s="43"/>
      <c r="AA253" s="43"/>
      <c r="AB253" s="7"/>
      <c r="AC253" s="88"/>
      <c r="AD253" s="88"/>
      <c r="AE253" s="88"/>
      <c r="AF253" s="88"/>
      <c r="AG253" s="117">
        <v>11</v>
      </c>
    </row>
    <row r="254" spans="1:33" s="117" customFormat="1" ht="11.45" customHeight="1">
      <c r="A254" s="330"/>
      <c r="B254" s="46"/>
      <c r="C254" s="46"/>
      <c r="L254" s="43"/>
      <c r="M254" s="46"/>
      <c r="N254" s="46"/>
      <c r="O254" s="43"/>
      <c r="P254" s="43"/>
      <c r="Q254" s="43"/>
      <c r="R254" s="43"/>
      <c r="S254" s="46"/>
      <c r="T254" s="43"/>
      <c r="U254" s="43"/>
      <c r="V254" s="77"/>
      <c r="W254" s="43"/>
      <c r="X254" s="43"/>
      <c r="Y254" s="43"/>
      <c r="Z254" s="43"/>
      <c r="AA254" s="43"/>
      <c r="AB254" s="7"/>
      <c r="AC254" s="88"/>
      <c r="AD254" s="88"/>
      <c r="AE254" s="88"/>
      <c r="AF254" s="88"/>
      <c r="AG254" s="117">
        <v>11</v>
      </c>
    </row>
    <row r="255" spans="1:33" s="117" customFormat="1" ht="11.45" customHeight="1">
      <c r="A255" s="330"/>
      <c r="B255" s="46"/>
      <c r="C255" s="46"/>
      <c r="L255" s="43"/>
      <c r="M255" s="46"/>
      <c r="N255" s="46"/>
      <c r="O255" s="43"/>
      <c r="P255" s="43"/>
      <c r="Q255" s="43"/>
      <c r="R255" s="43"/>
      <c r="S255" s="46"/>
      <c r="T255" s="43"/>
      <c r="U255" s="43"/>
      <c r="V255" s="77"/>
      <c r="W255" s="43"/>
      <c r="X255" s="43"/>
      <c r="Y255" s="43"/>
      <c r="Z255" s="43"/>
      <c r="AA255" s="43"/>
      <c r="AB255" s="7"/>
      <c r="AC255" s="88"/>
      <c r="AD255" s="88"/>
      <c r="AE255" s="88"/>
      <c r="AF255" s="88"/>
      <c r="AG255" s="117">
        <v>11</v>
      </c>
    </row>
    <row r="256" spans="1:33" s="117" customFormat="1" ht="11.45" customHeight="1">
      <c r="A256" s="330"/>
      <c r="B256" s="46"/>
      <c r="C256" s="46"/>
      <c r="L256" s="43"/>
      <c r="M256" s="46"/>
      <c r="N256" s="46"/>
      <c r="O256" s="43"/>
      <c r="P256" s="43"/>
      <c r="Q256" s="43"/>
      <c r="R256" s="43"/>
      <c r="S256" s="46"/>
      <c r="T256" s="43"/>
      <c r="U256" s="43"/>
      <c r="V256" s="77"/>
      <c r="W256" s="43"/>
      <c r="X256" s="43"/>
      <c r="Y256" s="43"/>
      <c r="Z256" s="43"/>
      <c r="AA256" s="43"/>
      <c r="AB256" s="7"/>
      <c r="AC256" s="88"/>
      <c r="AD256" s="88"/>
      <c r="AE256" s="88"/>
      <c r="AF256" s="88"/>
      <c r="AG256" s="117">
        <v>11</v>
      </c>
    </row>
    <row r="257" spans="1:33" s="117" customFormat="1" ht="11.45" customHeight="1">
      <c r="A257" s="330"/>
      <c r="B257" s="46"/>
      <c r="C257" s="46"/>
      <c r="L257" s="43"/>
      <c r="M257" s="46"/>
      <c r="N257" s="46"/>
      <c r="O257" s="43"/>
      <c r="P257" s="43"/>
      <c r="Q257" s="43"/>
      <c r="R257" s="43"/>
      <c r="S257" s="46"/>
      <c r="T257" s="43"/>
      <c r="U257" s="43"/>
      <c r="V257" s="77"/>
      <c r="W257" s="43"/>
      <c r="X257" s="43"/>
      <c r="Y257" s="43"/>
      <c r="Z257" s="43"/>
      <c r="AA257" s="43"/>
      <c r="AB257" s="7"/>
      <c r="AC257" s="88"/>
      <c r="AD257" s="88"/>
      <c r="AE257" s="88"/>
      <c r="AF257" s="88"/>
      <c r="AG257" s="117">
        <v>11</v>
      </c>
    </row>
    <row r="258" spans="1:33" s="117" customFormat="1" ht="11.45" customHeight="1">
      <c r="A258" s="330"/>
      <c r="B258" s="46"/>
      <c r="C258" s="46"/>
      <c r="L258" s="43"/>
      <c r="M258" s="46"/>
      <c r="N258" s="46"/>
      <c r="O258" s="43"/>
      <c r="P258" s="43"/>
      <c r="Q258" s="43"/>
      <c r="R258" s="43"/>
      <c r="S258" s="46"/>
      <c r="T258" s="43"/>
      <c r="U258" s="43"/>
      <c r="V258" s="77"/>
      <c r="W258" s="43"/>
      <c r="X258" s="43"/>
      <c r="Y258" s="43"/>
      <c r="Z258" s="43"/>
      <c r="AA258" s="43"/>
      <c r="AB258" s="7"/>
      <c r="AC258" s="88"/>
      <c r="AD258" s="88"/>
      <c r="AE258" s="88"/>
      <c r="AF258" s="88"/>
      <c r="AG258" s="117">
        <v>11</v>
      </c>
    </row>
    <row r="259" spans="1:33" s="117" customFormat="1" ht="11.45" customHeight="1">
      <c r="A259" s="330"/>
      <c r="B259" s="46"/>
      <c r="C259" s="46"/>
      <c r="L259" s="43"/>
      <c r="M259" s="46"/>
      <c r="N259" s="46"/>
      <c r="O259" s="43"/>
      <c r="P259" s="43"/>
      <c r="Q259" s="43"/>
      <c r="R259" s="43"/>
      <c r="S259" s="46"/>
      <c r="T259" s="43"/>
      <c r="U259" s="43"/>
      <c r="V259" s="77"/>
      <c r="W259" s="43"/>
      <c r="X259" s="43"/>
      <c r="Y259" s="43"/>
      <c r="Z259" s="43"/>
      <c r="AA259" s="43"/>
      <c r="AB259" s="7"/>
      <c r="AC259" s="88"/>
      <c r="AD259" s="88"/>
      <c r="AE259" s="88"/>
      <c r="AF259" s="88"/>
      <c r="AG259" s="117">
        <v>11</v>
      </c>
    </row>
    <row r="260" spans="1:33" s="117" customFormat="1" ht="11.45" customHeight="1">
      <c r="A260" s="330"/>
      <c r="B260" s="46"/>
      <c r="C260" s="46"/>
      <c r="L260" s="43"/>
      <c r="M260" s="46"/>
      <c r="N260" s="46"/>
      <c r="O260" s="43"/>
      <c r="P260" s="43"/>
      <c r="Q260" s="43"/>
      <c r="R260" s="43"/>
      <c r="S260" s="46"/>
      <c r="T260" s="43"/>
      <c r="U260" s="43"/>
      <c r="V260" s="77"/>
      <c r="W260" s="43"/>
      <c r="X260" s="43"/>
      <c r="Y260" s="43"/>
      <c r="Z260" s="43"/>
      <c r="AA260" s="43"/>
      <c r="AB260" s="7"/>
      <c r="AC260" s="88"/>
      <c r="AD260" s="88"/>
      <c r="AE260" s="88"/>
      <c r="AF260" s="88"/>
      <c r="AG260" s="117">
        <v>11</v>
      </c>
    </row>
    <row r="261" spans="1:33" s="117" customFormat="1" ht="11.45" customHeight="1">
      <c r="A261" s="330"/>
      <c r="B261" s="46"/>
      <c r="C261" s="46"/>
      <c r="L261" s="43"/>
      <c r="M261" s="46"/>
      <c r="N261" s="46"/>
      <c r="O261" s="43"/>
      <c r="P261" s="43"/>
      <c r="Q261" s="43"/>
      <c r="R261" s="43"/>
      <c r="S261" s="46"/>
      <c r="T261" s="43"/>
      <c r="U261" s="43"/>
      <c r="V261" s="77"/>
      <c r="W261" s="43"/>
      <c r="X261" s="43"/>
      <c r="Y261" s="43"/>
      <c r="Z261" s="43"/>
      <c r="AA261" s="43"/>
      <c r="AB261" s="7"/>
      <c r="AC261" s="88"/>
      <c r="AD261" s="88"/>
      <c r="AE261" s="88"/>
      <c r="AF261" s="88"/>
      <c r="AG261" s="117">
        <v>11</v>
      </c>
    </row>
    <row r="262" spans="1:33" s="117" customFormat="1" ht="11.45" customHeight="1">
      <c r="A262" s="330"/>
      <c r="B262" s="46"/>
      <c r="C262" s="46"/>
      <c r="L262" s="43"/>
      <c r="M262" s="46"/>
      <c r="N262" s="46"/>
      <c r="O262" s="43"/>
      <c r="P262" s="43"/>
      <c r="Q262" s="43"/>
      <c r="R262" s="43"/>
      <c r="S262" s="46"/>
      <c r="T262" s="43"/>
      <c r="U262" s="43"/>
      <c r="V262" s="77"/>
      <c r="W262" s="43"/>
      <c r="X262" s="43"/>
      <c r="Y262" s="43"/>
      <c r="Z262" s="43"/>
      <c r="AA262" s="43"/>
      <c r="AB262" s="7"/>
      <c r="AC262" s="88"/>
      <c r="AD262" s="88"/>
      <c r="AE262" s="88"/>
      <c r="AF262" s="88"/>
      <c r="AG262" s="117">
        <v>11</v>
      </c>
    </row>
    <row r="263" spans="1:33" s="117" customFormat="1" ht="11.45" customHeight="1">
      <c r="A263" s="330"/>
      <c r="B263" s="46"/>
      <c r="C263" s="46"/>
      <c r="L263" s="43"/>
      <c r="M263" s="46"/>
      <c r="N263" s="46"/>
      <c r="O263" s="43"/>
      <c r="P263" s="43"/>
      <c r="Q263" s="43"/>
      <c r="R263" s="43"/>
      <c r="S263" s="46"/>
      <c r="T263" s="43"/>
      <c r="U263" s="43"/>
      <c r="V263" s="77"/>
      <c r="W263" s="43"/>
      <c r="X263" s="43"/>
      <c r="Y263" s="43"/>
      <c r="Z263" s="43"/>
      <c r="AA263" s="43"/>
      <c r="AB263" s="7"/>
      <c r="AC263" s="88"/>
      <c r="AD263" s="88"/>
      <c r="AE263" s="88"/>
      <c r="AF263" s="88"/>
      <c r="AG263" s="117">
        <v>11</v>
      </c>
    </row>
    <row r="264" spans="1:33" s="117" customFormat="1" ht="11.45" customHeight="1">
      <c r="A264" s="330"/>
      <c r="B264" s="46"/>
      <c r="C264" s="46"/>
      <c r="L264" s="43"/>
      <c r="M264" s="46"/>
      <c r="N264" s="46"/>
      <c r="O264" s="43"/>
      <c r="P264" s="43"/>
      <c r="Q264" s="43"/>
      <c r="R264" s="43"/>
      <c r="S264" s="46"/>
      <c r="T264" s="43"/>
      <c r="U264" s="43"/>
      <c r="V264" s="77"/>
      <c r="W264" s="43"/>
      <c r="X264" s="43"/>
      <c r="Y264" s="43"/>
      <c r="Z264" s="43"/>
      <c r="AA264" s="43"/>
      <c r="AB264" s="7"/>
      <c r="AC264" s="88"/>
      <c r="AD264" s="88"/>
      <c r="AE264" s="88"/>
      <c r="AF264" s="88"/>
      <c r="AG264" s="117">
        <v>11</v>
      </c>
    </row>
    <row r="265" spans="1:33" s="117" customFormat="1" ht="11.45" customHeight="1">
      <c r="A265" s="330"/>
      <c r="B265" s="46"/>
      <c r="C265" s="46"/>
      <c r="L265" s="43"/>
      <c r="M265" s="46"/>
      <c r="N265" s="46"/>
      <c r="O265" s="43"/>
      <c r="P265" s="43"/>
      <c r="Q265" s="43"/>
      <c r="R265" s="43"/>
      <c r="S265" s="46"/>
      <c r="T265" s="43"/>
      <c r="U265" s="43"/>
      <c r="V265" s="77"/>
      <c r="W265" s="43"/>
      <c r="X265" s="43"/>
      <c r="Y265" s="43"/>
      <c r="Z265" s="43"/>
      <c r="AA265" s="43"/>
      <c r="AB265" s="7"/>
      <c r="AC265" s="88"/>
      <c r="AD265" s="88"/>
      <c r="AE265" s="88"/>
      <c r="AF265" s="88"/>
      <c r="AG265" s="117">
        <v>11</v>
      </c>
    </row>
    <row r="266" spans="1:33" s="117" customFormat="1" ht="11.45" customHeight="1">
      <c r="A266" s="330"/>
      <c r="B266" s="46"/>
      <c r="C266" s="46"/>
      <c r="L266" s="43"/>
      <c r="M266" s="46"/>
      <c r="N266" s="46"/>
      <c r="O266" s="43"/>
      <c r="P266" s="43"/>
      <c r="Q266" s="43"/>
      <c r="R266" s="43"/>
      <c r="S266" s="46"/>
      <c r="T266" s="43"/>
      <c r="U266" s="43"/>
      <c r="V266" s="77"/>
      <c r="W266" s="43"/>
      <c r="X266" s="43"/>
      <c r="Y266" s="43"/>
      <c r="Z266" s="43"/>
      <c r="AA266" s="43"/>
      <c r="AB266" s="7"/>
      <c r="AC266" s="88"/>
      <c r="AD266" s="88"/>
      <c r="AE266" s="88"/>
      <c r="AF266" s="88"/>
      <c r="AG266" s="117">
        <v>11</v>
      </c>
    </row>
    <row r="267" spans="1:33" s="117" customFormat="1" ht="11.45" customHeight="1">
      <c r="A267" s="330"/>
      <c r="B267" s="46"/>
      <c r="C267" s="46"/>
      <c r="L267" s="43"/>
      <c r="M267" s="46"/>
      <c r="N267" s="46"/>
      <c r="O267" s="43"/>
      <c r="P267" s="43"/>
      <c r="Q267" s="43"/>
      <c r="R267" s="43"/>
      <c r="S267" s="46"/>
      <c r="T267" s="43"/>
      <c r="U267" s="43"/>
      <c r="V267" s="77"/>
      <c r="W267" s="43"/>
      <c r="X267" s="43"/>
      <c r="Y267" s="43"/>
      <c r="Z267" s="43"/>
      <c r="AA267" s="43"/>
      <c r="AB267" s="7"/>
      <c r="AC267" s="88"/>
      <c r="AD267" s="88"/>
      <c r="AE267" s="88"/>
      <c r="AF267" s="88"/>
      <c r="AG267" s="117">
        <v>11</v>
      </c>
    </row>
    <row r="268" spans="1:33" s="117" customFormat="1" ht="11.45" customHeight="1">
      <c r="A268" s="330"/>
      <c r="B268" s="46"/>
      <c r="C268" s="46"/>
      <c r="L268" s="43"/>
      <c r="M268" s="46"/>
      <c r="N268" s="46"/>
      <c r="O268" s="43"/>
      <c r="P268" s="43"/>
      <c r="Q268" s="43"/>
      <c r="R268" s="43"/>
      <c r="S268" s="46"/>
      <c r="T268" s="43"/>
      <c r="U268" s="43"/>
      <c r="V268" s="77"/>
      <c r="W268" s="43"/>
      <c r="X268" s="43"/>
      <c r="Y268" s="43"/>
      <c r="Z268" s="43"/>
      <c r="AA268" s="43"/>
      <c r="AB268" s="7"/>
      <c r="AC268" s="88"/>
      <c r="AD268" s="88"/>
      <c r="AE268" s="88"/>
      <c r="AF268" s="88"/>
      <c r="AG268" s="117">
        <v>11</v>
      </c>
    </row>
    <row r="269" spans="1:33" s="117" customFormat="1" ht="11.45" customHeight="1">
      <c r="A269" s="330"/>
      <c r="B269" s="46"/>
      <c r="C269" s="46"/>
      <c r="L269" s="43"/>
      <c r="M269" s="46"/>
      <c r="N269" s="46"/>
      <c r="O269" s="43"/>
      <c r="P269" s="43"/>
      <c r="Q269" s="43"/>
      <c r="R269" s="43"/>
      <c r="S269" s="46"/>
      <c r="T269" s="43"/>
      <c r="U269" s="43"/>
      <c r="V269" s="77"/>
      <c r="W269" s="43"/>
      <c r="X269" s="43"/>
      <c r="Y269" s="43"/>
      <c r="Z269" s="43"/>
      <c r="AA269" s="43"/>
      <c r="AB269" s="7"/>
      <c r="AC269" s="88"/>
      <c r="AD269" s="88"/>
      <c r="AE269" s="88"/>
      <c r="AF269" s="88"/>
      <c r="AG269" s="117">
        <v>11</v>
      </c>
    </row>
    <row r="270" spans="1:33" s="117" customFormat="1" ht="11.45" customHeight="1">
      <c r="A270" s="330"/>
      <c r="B270" s="46"/>
      <c r="C270" s="46"/>
      <c r="L270" s="43"/>
      <c r="M270" s="46"/>
      <c r="N270" s="46"/>
      <c r="O270" s="43"/>
      <c r="P270" s="43"/>
      <c r="Q270" s="43"/>
      <c r="R270" s="43"/>
      <c r="S270" s="46"/>
      <c r="T270" s="43"/>
      <c r="U270" s="43"/>
      <c r="V270" s="77"/>
      <c r="W270" s="43"/>
      <c r="X270" s="43"/>
      <c r="Y270" s="43"/>
      <c r="Z270" s="43"/>
      <c r="AA270" s="43"/>
      <c r="AB270" s="7"/>
      <c r="AC270" s="88"/>
      <c r="AD270" s="88"/>
      <c r="AE270" s="88"/>
      <c r="AF270" s="88"/>
      <c r="AG270" s="117">
        <v>11</v>
      </c>
    </row>
    <row r="271" spans="1:33" s="117" customFormat="1" ht="11.45" customHeight="1">
      <c r="A271" s="330"/>
      <c r="B271" s="46"/>
      <c r="C271" s="46"/>
      <c r="L271" s="43"/>
      <c r="M271" s="46"/>
      <c r="N271" s="46"/>
      <c r="O271" s="43"/>
      <c r="P271" s="43"/>
      <c r="Q271" s="43"/>
      <c r="R271" s="43"/>
      <c r="S271" s="46"/>
      <c r="T271" s="43"/>
      <c r="U271" s="43"/>
      <c r="V271" s="77"/>
      <c r="W271" s="43"/>
      <c r="X271" s="43"/>
      <c r="Y271" s="43"/>
      <c r="Z271" s="43"/>
      <c r="AA271" s="43"/>
      <c r="AB271" s="7"/>
      <c r="AC271" s="88"/>
      <c r="AD271" s="88"/>
      <c r="AE271" s="88"/>
      <c r="AF271" s="88"/>
      <c r="AG271" s="117">
        <v>11</v>
      </c>
    </row>
    <row r="272" spans="1:33" s="117" customFormat="1" ht="11.45" customHeight="1">
      <c r="A272" s="330"/>
      <c r="B272" s="46"/>
      <c r="C272" s="46"/>
      <c r="L272" s="43"/>
      <c r="M272" s="46"/>
      <c r="N272" s="46"/>
      <c r="O272" s="43"/>
      <c r="P272" s="43"/>
      <c r="Q272" s="43"/>
      <c r="R272" s="43"/>
      <c r="S272" s="46"/>
      <c r="T272" s="43"/>
      <c r="U272" s="43"/>
      <c r="V272" s="77"/>
      <c r="W272" s="43"/>
      <c r="X272" s="43"/>
      <c r="Y272" s="43"/>
      <c r="Z272" s="43"/>
      <c r="AA272" s="43"/>
      <c r="AB272" s="7"/>
      <c r="AC272" s="88"/>
      <c r="AD272" s="88"/>
      <c r="AE272" s="88"/>
      <c r="AF272" s="88"/>
      <c r="AG272" s="117">
        <v>11</v>
      </c>
    </row>
    <row r="273" spans="1:33" s="117" customFormat="1" ht="11.45" customHeight="1">
      <c r="A273" s="330"/>
      <c r="B273" s="46"/>
      <c r="C273" s="46"/>
      <c r="L273" s="43"/>
      <c r="M273" s="46"/>
      <c r="N273" s="46"/>
      <c r="O273" s="43"/>
      <c r="P273" s="43"/>
      <c r="Q273" s="43"/>
      <c r="R273" s="43"/>
      <c r="S273" s="46"/>
      <c r="T273" s="43"/>
      <c r="U273" s="43"/>
      <c r="V273" s="77"/>
      <c r="W273" s="43"/>
      <c r="X273" s="43"/>
      <c r="Y273" s="43"/>
      <c r="Z273" s="43"/>
      <c r="AA273" s="43"/>
      <c r="AB273" s="7"/>
      <c r="AC273" s="88"/>
      <c r="AD273" s="88"/>
      <c r="AE273" s="88"/>
      <c r="AF273" s="88"/>
      <c r="AG273" s="117">
        <v>11</v>
      </c>
    </row>
    <row r="274" spans="1:33" s="117" customFormat="1" ht="11.45" customHeight="1">
      <c r="A274" s="330"/>
      <c r="B274" s="46"/>
      <c r="C274" s="46"/>
      <c r="L274" s="43"/>
      <c r="M274" s="46"/>
      <c r="N274" s="46"/>
      <c r="O274" s="43"/>
      <c r="P274" s="43"/>
      <c r="Q274" s="43"/>
      <c r="R274" s="43"/>
      <c r="S274" s="46"/>
      <c r="T274" s="43"/>
      <c r="U274" s="43"/>
      <c r="V274" s="77"/>
      <c r="W274" s="43"/>
      <c r="X274" s="43"/>
      <c r="Y274" s="43"/>
      <c r="Z274" s="43"/>
      <c r="AA274" s="43"/>
      <c r="AB274" s="7"/>
      <c r="AC274" s="88"/>
      <c r="AD274" s="88"/>
      <c r="AE274" s="88"/>
      <c r="AF274" s="88"/>
      <c r="AG274" s="117">
        <v>11</v>
      </c>
    </row>
    <row r="275" spans="1:33" s="117" customFormat="1" ht="11.45" customHeight="1">
      <c r="A275" s="330"/>
      <c r="B275" s="46"/>
      <c r="C275" s="46"/>
      <c r="L275" s="43"/>
      <c r="M275" s="46"/>
      <c r="N275" s="46"/>
      <c r="O275" s="43"/>
      <c r="P275" s="43"/>
      <c r="Q275" s="43"/>
      <c r="R275" s="43"/>
      <c r="S275" s="46"/>
      <c r="T275" s="43"/>
      <c r="U275" s="43"/>
      <c r="V275" s="77"/>
      <c r="W275" s="43"/>
      <c r="X275" s="43"/>
      <c r="Y275" s="43"/>
      <c r="Z275" s="43"/>
      <c r="AA275" s="43"/>
      <c r="AB275" s="7"/>
      <c r="AC275" s="88"/>
      <c r="AD275" s="88"/>
      <c r="AE275" s="88"/>
      <c r="AF275" s="88"/>
      <c r="AG275" s="117">
        <v>11</v>
      </c>
    </row>
    <row r="276" spans="1:33" s="117" customFormat="1" ht="11.45" customHeight="1">
      <c r="A276" s="330"/>
      <c r="B276" s="46"/>
      <c r="C276" s="46"/>
      <c r="L276" s="43"/>
      <c r="M276" s="46"/>
      <c r="N276" s="46"/>
      <c r="O276" s="43"/>
      <c r="P276" s="43"/>
      <c r="Q276" s="43"/>
      <c r="R276" s="43"/>
      <c r="S276" s="46"/>
      <c r="T276" s="43"/>
      <c r="U276" s="43"/>
      <c r="V276" s="77"/>
      <c r="W276" s="43"/>
      <c r="X276" s="43"/>
      <c r="Y276" s="43"/>
      <c r="Z276" s="43"/>
      <c r="AA276" s="43"/>
      <c r="AB276" s="7"/>
      <c r="AC276" s="88"/>
      <c r="AD276" s="88"/>
      <c r="AE276" s="88"/>
      <c r="AF276" s="88"/>
      <c r="AG276" s="117">
        <v>11</v>
      </c>
    </row>
    <row r="277" spans="1:33" s="117" customFormat="1" ht="11.45" customHeight="1">
      <c r="A277" s="330"/>
      <c r="B277" s="46"/>
      <c r="C277" s="46"/>
      <c r="L277" s="43"/>
      <c r="M277" s="46"/>
      <c r="N277" s="46"/>
      <c r="O277" s="43"/>
      <c r="P277" s="43"/>
      <c r="Q277" s="43"/>
      <c r="R277" s="43"/>
      <c r="S277" s="46"/>
      <c r="T277" s="43"/>
      <c r="U277" s="43"/>
      <c r="V277" s="77"/>
      <c r="W277" s="43"/>
      <c r="X277" s="43"/>
      <c r="Y277" s="43"/>
      <c r="Z277" s="43"/>
      <c r="AA277" s="43"/>
      <c r="AB277" s="7"/>
      <c r="AC277" s="88"/>
      <c r="AD277" s="88"/>
      <c r="AE277" s="88"/>
      <c r="AF277" s="88"/>
      <c r="AG277" s="117">
        <v>11</v>
      </c>
    </row>
    <row r="278" spans="1:33" s="117" customFormat="1" ht="11.45" customHeight="1">
      <c r="A278" s="330"/>
      <c r="B278" s="46"/>
      <c r="C278" s="46"/>
      <c r="L278" s="43"/>
      <c r="M278" s="46"/>
      <c r="N278" s="46"/>
      <c r="O278" s="43"/>
      <c r="P278" s="43"/>
      <c r="Q278" s="43"/>
      <c r="R278" s="43"/>
      <c r="S278" s="46"/>
      <c r="T278" s="43"/>
      <c r="U278" s="43"/>
      <c r="V278" s="77"/>
      <c r="W278" s="43"/>
      <c r="X278" s="43"/>
      <c r="Y278" s="43"/>
      <c r="Z278" s="43"/>
      <c r="AA278" s="43"/>
      <c r="AB278" s="7"/>
      <c r="AC278" s="88"/>
      <c r="AD278" s="88"/>
      <c r="AE278" s="88"/>
      <c r="AF278" s="88"/>
      <c r="AG278" s="117">
        <v>11</v>
      </c>
    </row>
    <row r="279" spans="1:33" s="117" customFormat="1" ht="11.45" customHeight="1">
      <c r="A279" s="330"/>
      <c r="B279" s="46"/>
      <c r="C279" s="46"/>
      <c r="L279" s="43"/>
      <c r="M279" s="46"/>
      <c r="N279" s="46"/>
      <c r="O279" s="43"/>
      <c r="P279" s="43"/>
      <c r="Q279" s="43"/>
      <c r="R279" s="43"/>
      <c r="S279" s="46"/>
      <c r="T279" s="43"/>
      <c r="U279" s="43"/>
      <c r="V279" s="77"/>
      <c r="W279" s="43"/>
      <c r="X279" s="43"/>
      <c r="Y279" s="43"/>
      <c r="Z279" s="43"/>
      <c r="AA279" s="43"/>
      <c r="AB279" s="7"/>
      <c r="AC279" s="88"/>
      <c r="AD279" s="88"/>
      <c r="AE279" s="88"/>
      <c r="AF279" s="88"/>
      <c r="AG279" s="117">
        <v>11</v>
      </c>
    </row>
    <row r="280" spans="1:33" s="117" customFormat="1" ht="11.45" customHeight="1">
      <c r="A280" s="330"/>
      <c r="B280" s="46"/>
      <c r="C280" s="46"/>
      <c r="L280" s="43"/>
      <c r="M280" s="46"/>
      <c r="N280" s="46"/>
      <c r="O280" s="43"/>
      <c r="P280" s="43"/>
      <c r="Q280" s="43"/>
      <c r="R280" s="43"/>
      <c r="S280" s="46"/>
      <c r="T280" s="43"/>
      <c r="U280" s="43"/>
      <c r="V280" s="77"/>
      <c r="W280" s="43"/>
      <c r="X280" s="43"/>
      <c r="Y280" s="43"/>
      <c r="Z280" s="43"/>
      <c r="AA280" s="43"/>
      <c r="AB280" s="7"/>
      <c r="AC280" s="88"/>
      <c r="AD280" s="88"/>
      <c r="AE280" s="88"/>
      <c r="AF280" s="88"/>
      <c r="AG280" s="117">
        <v>11</v>
      </c>
    </row>
    <row r="281" spans="1:33" s="117" customFormat="1" ht="11.45" customHeight="1">
      <c r="A281" s="330"/>
      <c r="B281" s="46"/>
      <c r="C281" s="46"/>
      <c r="L281" s="43"/>
      <c r="M281" s="46"/>
      <c r="N281" s="46"/>
      <c r="O281" s="43"/>
      <c r="P281" s="43"/>
      <c r="Q281" s="43"/>
      <c r="R281" s="43"/>
      <c r="S281" s="46"/>
      <c r="T281" s="43"/>
      <c r="U281" s="43"/>
      <c r="V281" s="77"/>
      <c r="W281" s="43"/>
      <c r="X281" s="43"/>
      <c r="Y281" s="43"/>
      <c r="Z281" s="43"/>
      <c r="AA281" s="43"/>
      <c r="AB281" s="7"/>
      <c r="AC281" s="88"/>
      <c r="AD281" s="88"/>
      <c r="AE281" s="88"/>
      <c r="AF281" s="88"/>
      <c r="AG281" s="117">
        <v>11</v>
      </c>
    </row>
    <row r="282" spans="1:33" s="117" customFormat="1" ht="11.45" customHeight="1">
      <c r="A282" s="330"/>
      <c r="B282" s="46"/>
      <c r="C282" s="46"/>
      <c r="L282" s="43"/>
      <c r="M282" s="46"/>
      <c r="N282" s="46"/>
      <c r="O282" s="43"/>
      <c r="P282" s="43"/>
      <c r="Q282" s="43"/>
      <c r="R282" s="43"/>
      <c r="S282" s="46"/>
      <c r="T282" s="43"/>
      <c r="U282" s="43"/>
      <c r="V282" s="77"/>
      <c r="W282" s="43"/>
      <c r="X282" s="43"/>
      <c r="Y282" s="43"/>
      <c r="Z282" s="43"/>
      <c r="AA282" s="43"/>
      <c r="AB282" s="7"/>
      <c r="AC282" s="88"/>
      <c r="AD282" s="88"/>
      <c r="AE282" s="88"/>
      <c r="AF282" s="88"/>
      <c r="AG282" s="117">
        <v>11</v>
      </c>
    </row>
    <row r="283" spans="1:33" s="117" customFormat="1" ht="11.45" customHeight="1">
      <c r="A283" s="330"/>
      <c r="B283" s="46"/>
      <c r="C283" s="46"/>
      <c r="L283" s="43"/>
      <c r="M283" s="46"/>
      <c r="N283" s="46"/>
      <c r="O283" s="43"/>
      <c r="P283" s="43"/>
      <c r="Q283" s="43"/>
      <c r="R283" s="43"/>
      <c r="S283" s="46"/>
      <c r="T283" s="43"/>
      <c r="U283" s="43"/>
      <c r="V283" s="77"/>
      <c r="W283" s="43"/>
      <c r="X283" s="43"/>
      <c r="Y283" s="43"/>
      <c r="Z283" s="43"/>
      <c r="AA283" s="43"/>
      <c r="AB283" s="7"/>
      <c r="AC283" s="88"/>
      <c r="AD283" s="88"/>
      <c r="AE283" s="88"/>
      <c r="AF283" s="88"/>
      <c r="AG283" s="117">
        <v>11</v>
      </c>
    </row>
    <row r="284" spans="1:33" s="117" customFormat="1" ht="11.45" customHeight="1">
      <c r="A284" s="330"/>
      <c r="B284" s="46"/>
      <c r="C284" s="46"/>
      <c r="L284" s="43"/>
      <c r="M284" s="46"/>
      <c r="N284" s="46"/>
      <c r="O284" s="43"/>
      <c r="P284" s="43"/>
      <c r="Q284" s="43"/>
      <c r="R284" s="43"/>
      <c r="S284" s="46"/>
      <c r="T284" s="43"/>
      <c r="U284" s="43"/>
      <c r="V284" s="77"/>
      <c r="W284" s="43"/>
      <c r="X284" s="43"/>
      <c r="Y284" s="43"/>
      <c r="Z284" s="43"/>
      <c r="AA284" s="43"/>
      <c r="AB284" s="7"/>
      <c r="AC284" s="88"/>
      <c r="AD284" s="88"/>
      <c r="AE284" s="88"/>
      <c r="AF284" s="88"/>
      <c r="AG284" s="117">
        <v>11</v>
      </c>
    </row>
    <row r="285" spans="1:33" s="117" customFormat="1" ht="11.45" customHeight="1">
      <c r="A285" s="330"/>
      <c r="B285" s="46"/>
      <c r="C285" s="46"/>
      <c r="L285" s="43"/>
      <c r="M285" s="46"/>
      <c r="N285" s="46"/>
      <c r="O285" s="43"/>
      <c r="P285" s="43"/>
      <c r="Q285" s="43"/>
      <c r="R285" s="43"/>
      <c r="S285" s="46"/>
      <c r="T285" s="43"/>
      <c r="U285" s="43"/>
      <c r="V285" s="77"/>
      <c r="W285" s="43"/>
      <c r="X285" s="43"/>
      <c r="Y285" s="43"/>
      <c r="Z285" s="43"/>
      <c r="AA285" s="43"/>
      <c r="AB285" s="7"/>
      <c r="AC285" s="88"/>
      <c r="AD285" s="88"/>
      <c r="AE285" s="88"/>
      <c r="AF285" s="88"/>
      <c r="AG285" s="117">
        <v>11</v>
      </c>
    </row>
    <row r="286" spans="1:33" s="117" customFormat="1" ht="11.45" customHeight="1">
      <c r="A286" s="330"/>
      <c r="B286" s="46"/>
      <c r="C286" s="46"/>
      <c r="L286" s="43"/>
      <c r="M286" s="46"/>
      <c r="N286" s="46"/>
      <c r="O286" s="43"/>
      <c r="P286" s="43"/>
      <c r="Q286" s="43"/>
      <c r="R286" s="43"/>
      <c r="S286" s="46"/>
      <c r="T286" s="43"/>
      <c r="U286" s="43"/>
      <c r="V286" s="77"/>
      <c r="W286" s="43"/>
      <c r="X286" s="43"/>
      <c r="Y286" s="43"/>
      <c r="Z286" s="43"/>
      <c r="AA286" s="43"/>
      <c r="AB286" s="7"/>
      <c r="AC286" s="88"/>
      <c r="AD286" s="88"/>
      <c r="AE286" s="88"/>
      <c r="AF286" s="88"/>
      <c r="AG286" s="117">
        <v>11</v>
      </c>
    </row>
    <row r="287" spans="1:33" s="117" customFormat="1" ht="11.45" customHeight="1">
      <c r="A287" s="330"/>
      <c r="B287" s="46"/>
      <c r="C287" s="46"/>
      <c r="L287" s="43"/>
      <c r="M287" s="46"/>
      <c r="N287" s="46"/>
      <c r="O287" s="43"/>
      <c r="P287" s="43"/>
      <c r="Q287" s="43"/>
      <c r="R287" s="43"/>
      <c r="S287" s="46"/>
      <c r="T287" s="43"/>
      <c r="U287" s="43"/>
      <c r="V287" s="77"/>
      <c r="W287" s="43"/>
      <c r="X287" s="43"/>
      <c r="Y287" s="43"/>
      <c r="Z287" s="43"/>
      <c r="AA287" s="43"/>
      <c r="AB287" s="7"/>
      <c r="AC287" s="88"/>
      <c r="AD287" s="88"/>
      <c r="AE287" s="88"/>
      <c r="AF287" s="88"/>
      <c r="AG287" s="117">
        <v>11</v>
      </c>
    </row>
    <row r="288" spans="1:33" s="117" customFormat="1" ht="11.45" customHeight="1">
      <c r="A288" s="330"/>
      <c r="B288" s="46"/>
      <c r="C288" s="46"/>
      <c r="L288" s="43"/>
      <c r="M288" s="46"/>
      <c r="N288" s="46"/>
      <c r="O288" s="43"/>
      <c r="P288" s="43"/>
      <c r="Q288" s="43"/>
      <c r="R288" s="43"/>
      <c r="S288" s="46"/>
      <c r="T288" s="43"/>
      <c r="U288" s="43"/>
      <c r="V288" s="77"/>
      <c r="W288" s="43"/>
      <c r="X288" s="43"/>
      <c r="Y288" s="43"/>
      <c r="Z288" s="43"/>
      <c r="AA288" s="43"/>
      <c r="AB288" s="7"/>
      <c r="AC288" s="88"/>
      <c r="AD288" s="88"/>
      <c r="AE288" s="88"/>
      <c r="AF288" s="88"/>
      <c r="AG288" s="117">
        <v>11</v>
      </c>
    </row>
    <row r="289" spans="1:33" ht="11.45" customHeight="1">
      <c r="AG289" s="4">
        <v>11</v>
      </c>
    </row>
    <row r="290" spans="1:33" ht="11.45" customHeight="1">
      <c r="AG290" s="4">
        <v>11</v>
      </c>
    </row>
    <row r="291" spans="1:33" ht="11.45" customHeight="1">
      <c r="AG291" s="4">
        <v>11</v>
      </c>
    </row>
    <row r="292" spans="1:33" ht="11.45" customHeight="1">
      <c r="A292" s="255"/>
      <c r="B292" s="4"/>
      <c r="L292" s="4"/>
      <c r="O292" s="4"/>
      <c r="P292" s="4"/>
      <c r="Q292" s="4"/>
      <c r="R292" s="4"/>
      <c r="T292" s="4"/>
      <c r="U292" s="4"/>
      <c r="V292" s="4"/>
      <c r="W292" s="4"/>
      <c r="X292" s="4"/>
      <c r="Y292" s="4"/>
      <c r="Z292" s="4"/>
      <c r="AA292" s="4"/>
      <c r="AB292" s="4"/>
      <c r="AC292" s="4"/>
      <c r="AD292" s="4"/>
      <c r="AE292" s="4"/>
      <c r="AF292" s="4"/>
      <c r="AG292" s="4">
        <v>11</v>
      </c>
    </row>
    <row r="293" spans="1:33" ht="11.45" customHeight="1">
      <c r="A293" s="255"/>
      <c r="B293" s="4"/>
      <c r="L293" s="4"/>
      <c r="O293" s="4"/>
      <c r="P293" s="4"/>
      <c r="Q293" s="4"/>
      <c r="R293" s="4"/>
      <c r="T293" s="4"/>
      <c r="U293" s="4"/>
      <c r="V293" s="4"/>
      <c r="W293" s="4"/>
      <c r="X293" s="4"/>
      <c r="Y293" s="4"/>
      <c r="Z293" s="4"/>
      <c r="AA293" s="4"/>
      <c r="AB293" s="4"/>
      <c r="AC293" s="4"/>
      <c r="AD293" s="4"/>
      <c r="AE293" s="4"/>
      <c r="AF293" s="4"/>
      <c r="AG293" s="4">
        <v>11</v>
      </c>
    </row>
    <row r="294" spans="1:33" ht="11.45" customHeight="1">
      <c r="A294" s="255"/>
      <c r="B294" s="4"/>
      <c r="L294" s="4"/>
      <c r="O294" s="4"/>
      <c r="P294" s="4"/>
      <c r="Q294" s="4"/>
      <c r="R294" s="4"/>
      <c r="T294" s="4"/>
      <c r="U294" s="4"/>
      <c r="V294" s="4"/>
      <c r="W294" s="4"/>
      <c r="X294" s="4"/>
      <c r="Y294" s="4"/>
      <c r="Z294" s="4"/>
      <c r="AA294" s="4"/>
      <c r="AB294" s="4"/>
      <c r="AC294" s="4"/>
      <c r="AD294" s="4"/>
      <c r="AE294" s="4"/>
      <c r="AF294" s="4"/>
      <c r="AG294" s="4">
        <v>11</v>
      </c>
    </row>
    <row r="295" spans="1:33" ht="11.45" customHeight="1">
      <c r="A295" s="255"/>
      <c r="B295" s="4"/>
      <c r="L295" s="4"/>
      <c r="O295" s="4"/>
      <c r="P295" s="4"/>
      <c r="Q295" s="4"/>
      <c r="R295" s="4"/>
      <c r="T295" s="4"/>
      <c r="U295" s="4"/>
      <c r="V295" s="4"/>
      <c r="W295" s="4"/>
      <c r="X295" s="4"/>
      <c r="Y295" s="4"/>
      <c r="Z295" s="4"/>
      <c r="AA295" s="4"/>
      <c r="AB295" s="4"/>
      <c r="AC295" s="4"/>
      <c r="AD295" s="4"/>
      <c r="AE295" s="4"/>
      <c r="AF295" s="4"/>
      <c r="AG295" s="4">
        <v>11</v>
      </c>
    </row>
    <row r="296" spans="1:33" ht="11.45" customHeight="1">
      <c r="A296" s="255"/>
      <c r="B296" s="4"/>
      <c r="L296" s="4"/>
      <c r="O296" s="4"/>
      <c r="P296" s="4"/>
      <c r="Q296" s="4"/>
      <c r="R296" s="4"/>
      <c r="T296" s="4"/>
      <c r="U296" s="4"/>
      <c r="V296" s="4"/>
      <c r="W296" s="4"/>
      <c r="X296" s="4"/>
      <c r="Y296" s="4"/>
      <c r="Z296" s="4"/>
      <c r="AA296" s="4"/>
      <c r="AB296" s="4"/>
      <c r="AC296" s="4"/>
      <c r="AD296" s="4"/>
      <c r="AE296" s="4"/>
      <c r="AF296" s="4"/>
      <c r="AG296" s="4">
        <v>11</v>
      </c>
    </row>
    <row r="297" spans="1:33" ht="11.45" customHeight="1">
      <c r="A297" s="255"/>
      <c r="B297" s="4"/>
      <c r="L297" s="4"/>
      <c r="O297" s="4"/>
      <c r="P297" s="4"/>
      <c r="Q297" s="4"/>
      <c r="R297" s="4"/>
      <c r="T297" s="4"/>
      <c r="U297" s="4"/>
      <c r="V297" s="4"/>
      <c r="W297" s="4"/>
      <c r="X297" s="4"/>
      <c r="Y297" s="4"/>
      <c r="Z297" s="4"/>
      <c r="AA297" s="4"/>
      <c r="AB297" s="4"/>
      <c r="AC297" s="4"/>
      <c r="AD297" s="4"/>
      <c r="AE297" s="4"/>
      <c r="AF297" s="4"/>
      <c r="AG297" s="4">
        <v>11</v>
      </c>
    </row>
    <row r="298" spans="1:33" ht="11.45" customHeight="1">
      <c r="A298" s="255"/>
      <c r="B298" s="4"/>
      <c r="L298" s="4"/>
      <c r="O298" s="4"/>
      <c r="P298" s="4"/>
      <c r="Q298" s="4"/>
      <c r="R298" s="4"/>
      <c r="T298" s="4"/>
      <c r="U298" s="4"/>
      <c r="V298" s="4"/>
      <c r="W298" s="4"/>
      <c r="X298" s="4"/>
      <c r="Y298" s="4"/>
      <c r="Z298" s="4"/>
      <c r="AA298" s="4"/>
      <c r="AB298" s="4"/>
      <c r="AC298" s="4"/>
      <c r="AD298" s="4"/>
      <c r="AE298" s="4"/>
      <c r="AF298" s="4"/>
      <c r="AG298" s="4">
        <v>11</v>
      </c>
    </row>
    <row r="299" spans="1:33" ht="11.45" customHeight="1">
      <c r="A299" s="255"/>
      <c r="B299" s="4"/>
      <c r="L299" s="4"/>
      <c r="O299" s="4"/>
      <c r="P299" s="4"/>
      <c r="Q299" s="4"/>
      <c r="R299" s="4"/>
      <c r="T299" s="4"/>
      <c r="U299" s="4"/>
      <c r="V299" s="4"/>
      <c r="W299" s="4"/>
      <c r="X299" s="4"/>
      <c r="Y299" s="4"/>
      <c r="Z299" s="4"/>
      <c r="AA299" s="4"/>
      <c r="AB299" s="4"/>
      <c r="AC299" s="4"/>
      <c r="AD299" s="4"/>
      <c r="AE299" s="4"/>
      <c r="AF299" s="4"/>
      <c r="AG299" s="4">
        <v>11</v>
      </c>
    </row>
    <row r="300" spans="1:33" ht="11.45" customHeight="1">
      <c r="A300" s="255"/>
      <c r="B300" s="4"/>
      <c r="L300" s="4"/>
      <c r="O300" s="4"/>
      <c r="P300" s="4"/>
      <c r="Q300" s="4"/>
      <c r="R300" s="4"/>
      <c r="T300" s="4"/>
      <c r="U300" s="4"/>
      <c r="V300" s="4"/>
      <c r="W300" s="4"/>
      <c r="X300" s="4"/>
      <c r="Y300" s="4"/>
      <c r="Z300" s="4"/>
      <c r="AA300" s="4"/>
      <c r="AB300" s="4"/>
      <c r="AC300" s="4"/>
      <c r="AD300" s="4"/>
      <c r="AE300" s="4"/>
      <c r="AF300" s="4"/>
      <c r="AG300" s="4">
        <v>11</v>
      </c>
    </row>
    <row r="301" spans="1:33" ht="11.45" customHeight="1">
      <c r="A301" s="255"/>
      <c r="B301" s="4"/>
      <c r="L301" s="4"/>
      <c r="O301" s="4"/>
      <c r="P301" s="4"/>
      <c r="Q301" s="4"/>
      <c r="R301" s="4"/>
      <c r="T301" s="4"/>
      <c r="U301" s="4"/>
      <c r="V301" s="4"/>
      <c r="W301" s="4"/>
      <c r="X301" s="4"/>
      <c r="Y301" s="4"/>
      <c r="Z301" s="4"/>
      <c r="AA301" s="4"/>
      <c r="AB301" s="4"/>
      <c r="AC301" s="4"/>
      <c r="AD301" s="4"/>
      <c r="AE301" s="4"/>
      <c r="AF301" s="4"/>
      <c r="AG301" s="4">
        <v>11</v>
      </c>
    </row>
    <row r="302" spans="1:33" ht="11.45" customHeight="1">
      <c r="A302" s="255"/>
      <c r="B302" s="4"/>
      <c r="L302" s="4"/>
      <c r="O302" s="4"/>
      <c r="P302" s="4"/>
      <c r="Q302" s="4"/>
      <c r="R302" s="4"/>
      <c r="T302" s="4"/>
      <c r="U302" s="4"/>
      <c r="V302" s="4"/>
      <c r="W302" s="4"/>
      <c r="X302" s="4"/>
      <c r="Y302" s="4"/>
      <c r="Z302" s="4"/>
      <c r="AA302" s="4"/>
      <c r="AB302" s="4"/>
      <c r="AC302" s="4"/>
      <c r="AD302" s="4"/>
      <c r="AE302" s="4"/>
      <c r="AF302" s="4"/>
      <c r="AG302" s="4">
        <v>11</v>
      </c>
    </row>
    <row r="303" spans="1:33" ht="11.25" hidden="1" customHeight="1">
      <c r="A303" s="330" t="s">
        <v>82</v>
      </c>
      <c r="B303" s="43">
        <v>0</v>
      </c>
      <c r="C303" s="46">
        <v>0</v>
      </c>
      <c r="D303" s="4">
        <v>3</v>
      </c>
      <c r="E303" s="4">
        <v>7</v>
      </c>
      <c r="F303" s="4">
        <v>54</v>
      </c>
      <c r="G303" s="4">
        <v>10</v>
      </c>
      <c r="H303" s="4">
        <v>0</v>
      </c>
      <c r="I303" s="4">
        <v>40</v>
      </c>
      <c r="J303" s="4">
        <v>0</v>
      </c>
      <c r="K303" s="4">
        <v>102</v>
      </c>
      <c r="L303" s="43">
        <v>9</v>
      </c>
      <c r="M303" s="46">
        <v>5</v>
      </c>
      <c r="N303" s="46">
        <v>3</v>
      </c>
      <c r="O303" s="43">
        <v>3</v>
      </c>
      <c r="P303" s="43">
        <v>3</v>
      </c>
      <c r="Q303" s="43">
        <v>3</v>
      </c>
      <c r="R303" s="43">
        <v>3</v>
      </c>
      <c r="S303" s="46">
        <v>10</v>
      </c>
      <c r="T303" s="43">
        <v>34</v>
      </c>
      <c r="U303" s="43">
        <v>9</v>
      </c>
      <c r="V303" s="77">
        <v>8</v>
      </c>
      <c r="W303" s="43">
        <v>8</v>
      </c>
      <c r="X303" s="43">
        <v>8</v>
      </c>
      <c r="Y303" s="43">
        <v>8</v>
      </c>
      <c r="Z303" s="43">
        <v>8</v>
      </c>
      <c r="AA303" s="43">
        <v>8</v>
      </c>
      <c r="AB303" s="7">
        <v>8</v>
      </c>
      <c r="AC303" s="7">
        <v>8</v>
      </c>
      <c r="AD303" s="7">
        <v>8</v>
      </c>
      <c r="AE303" s="7">
        <v>8</v>
      </c>
      <c r="AF303" s="7">
        <v>8</v>
      </c>
      <c r="AG303" s="4">
        <v>11</v>
      </c>
    </row>
  </sheetData>
  <sheetProtection formatColumns="0" formatRows="0" insertRows="0" deleteColumns="0" deleteRows="0" sort="0" autoFilter="0"/>
  <mergeCells count="18">
    <mergeCell ref="B2:B7"/>
    <mergeCell ref="K25:K29"/>
    <mergeCell ref="F25:G25"/>
    <mergeCell ref="F26:G26"/>
    <mergeCell ref="F27:G27"/>
    <mergeCell ref="E28:G28"/>
    <mergeCell ref="A120:A130"/>
    <mergeCell ref="E21:I21"/>
    <mergeCell ref="E22:I22"/>
    <mergeCell ref="A33:A40"/>
    <mergeCell ref="B34:B39"/>
    <mergeCell ref="A41:A43"/>
    <mergeCell ref="A67:A68"/>
    <mergeCell ref="A82:A90"/>
    <mergeCell ref="A91:A95"/>
    <mergeCell ref="A96:A98"/>
    <mergeCell ref="A99:A111"/>
    <mergeCell ref="A115:A119"/>
  </mergeCells>
  <dataValidations count="12">
    <dataValidation type="list" allowBlank="1" showInputMessage="1" showErrorMessage="1" errorTitle="Ошибка" error="Выберите значение из списка" prompt="Выберите значение из списка" sqref="H7:J7" xr:uid="{00000000-0002-0000-2000-000000000000}">
      <formula1>kind_of_purchase_method</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J70" xr:uid="{00000000-0002-0000-2000-000001000000}">
      <formula1>900</formula1>
    </dataValidation>
    <dataValidation type="textLength" operator="lessThanOrEqual" allowBlank="1" showInputMessage="1" showErrorMessage="1" errorTitle="Ошибка" error="Допускается ввод не более 900 символов!" sqref="G4 H34:J34 H39:J39" xr:uid="{00000000-0002-0000-2000-000002000000}">
      <formula1>900</formula1>
    </dataValidation>
    <dataValidation type="decimal" allowBlank="1" showErrorMessage="1" errorTitle="Ошибка" error="Допускается ввод только неотрицательных чисел!" sqref="H67:J67 H69:J69 H91:J94 H127:J127 H30:J30 H32:J33 H35:J38 H40:J65 H82:J86 H17:J17 H9:J13 H15:J15 H96:J119 H74:J74 H88:J89 H4:J6" xr:uid="{00000000-0002-0000-2000-000003000000}">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A1:XFD1" xr:uid="{00000000-0002-0000-2000-000004000000}">
      <formula1>900</formula1>
    </dataValidation>
    <dataValidation type="list" allowBlank="1" showInputMessage="1" showErrorMessage="1" errorTitle="Ошибка" error="Выберите значение из списка" prompt="Выберите значение из списка" sqref="F2" xr:uid="{00000000-0002-0000-2000-000005000000}">
      <formula1>kind_of_fuels</formula1>
    </dataValidation>
    <dataValidation type="list" allowBlank="1" showInputMessage="1" showErrorMessage="1" errorTitle="Ошибка" error="Выберите значение из списка" prompt="Выберите значение из списка" sqref="G93" xr:uid="{00000000-0002-0000-2000-000006000000}">
      <formula1>kind_of_volume_te_unit</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8:J130 H81:J81" xr:uid="{00000000-0002-0000-2000-000007000000}">
      <formula1>900</formula1>
    </dataValidation>
    <dataValidation type="decimal" allowBlank="1" showErrorMessage="1" errorTitle="Ошибка" error="Допускается ввод только действительных чисел!" sqref="H72:J73" xr:uid="{00000000-0002-0000-2000-000008000000}">
      <formula1>-9.99999999999999E+23</formula1>
      <formula2>9.99999999999999E+23</formula2>
    </dataValidation>
    <dataValidation type="decimal" allowBlank="1" showErrorMessage="1" errorTitle="Ошибка" error="Допускается ввод только действительных чисел!" sqref="H123:J123 H120:J120 H126:J126 H75:J80" xr:uid="{00000000-0002-0000-2000-000009000000}">
      <formula1>-9.99999999999999E+37</formula1>
      <formula2>9.99999999999999E+37</formula2>
    </dataValidation>
    <dataValidation type="decimal" allowBlank="1" showErrorMessage="1" errorTitle="Ошибка" error="Введите значение от 0 до 100%" sqref="H90:J90 H95:J95" xr:uid="{00000000-0002-0000-2000-00000A000000}">
      <formula1>0</formula1>
      <formula2>100</formula2>
    </dataValidation>
    <dataValidation allowBlank="1" showInputMessage="1" showErrorMessage="1" prompt="Для выбора выполните двойной щелчок левой клавиши мыши по соответствующей ячейке." sqref="H68:J68 H66:J66" xr:uid="{00000000-0002-0000-2000-00000B00000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C1CF7A-211B-C8F4-90F5-3DF4A90E9AC5}">
  <sheetPr>
    <tabColor theme="9" tint="-0.249977111117893"/>
  </sheetPr>
  <dimension ref="A1:CF38"/>
  <sheetViews>
    <sheetView showGridLines="0" topLeftCell="C4" zoomScale="90" workbookViewId="0">
      <selection activeCell="A23" sqref="A23:XFD31"/>
    </sheetView>
  </sheetViews>
  <sheetFormatPr defaultColWidth="9.140625" defaultRowHeight="11.25" customHeight="1"/>
  <cols>
    <col min="1" max="1" width="14.7109375" style="21" hidden="1" customWidth="1"/>
    <col min="2" max="2" width="17" style="7" hidden="1" customWidth="1"/>
    <col min="3" max="3" width="3" style="4" customWidth="1"/>
    <col min="4" max="4" width="1.85546875" style="4" hidden="1" customWidth="1"/>
    <col min="5" max="6" width="7" style="4" customWidth="1"/>
    <col min="7" max="7" width="29" style="4" customWidth="1"/>
    <col min="8" max="8" width="3.7109375" style="4" customWidth="1"/>
    <col min="9" max="9" width="5" style="4" customWidth="1"/>
    <col min="10" max="11" width="24" style="4" customWidth="1"/>
    <col min="12" max="12" width="3" style="4" customWidth="1"/>
    <col min="13" max="13" width="6" style="4" customWidth="1"/>
    <col min="14" max="14" width="25" style="4" customWidth="1"/>
    <col min="15" max="18" width="18" style="4" customWidth="1"/>
    <col min="19" max="19" width="93" style="4" customWidth="1"/>
    <col min="20" max="20" width="10" style="4" customWidth="1"/>
    <col min="21" max="21" width="10" style="46" customWidth="1"/>
    <col min="22" max="22" width="11" style="46" customWidth="1"/>
    <col min="23" max="27" width="10" style="7" customWidth="1"/>
    <col min="28" max="83" width="8" style="4" customWidth="1"/>
    <col min="84" max="84" width="9.140625" style="4" hidden="1"/>
  </cols>
  <sheetData>
    <row r="1" spans="1:84" ht="22.5" hidden="1" customHeight="1">
      <c r="CF1" s="4" t="s">
        <v>14</v>
      </c>
    </row>
    <row r="2" spans="1:84" ht="11.25" hidden="1" customHeight="1">
      <c r="CF2" s="4">
        <v>0</v>
      </c>
    </row>
    <row r="3" spans="1:84" ht="11.25" hidden="1" customHeight="1">
      <c r="CF3" s="4">
        <v>0</v>
      </c>
    </row>
    <row r="4" spans="1:84" ht="3" customHeight="1">
      <c r="CF4" s="4">
        <v>3</v>
      </c>
    </row>
    <row r="5" spans="1:84" ht="29.25" customHeight="1">
      <c r="D5" s="128"/>
      <c r="E5" s="697" t="str">
        <f>FHD20_NAME_FORM</f>
        <v>Форма 11. Информация о расходах на капитальный и текущий ремонт основных средств</v>
      </c>
      <c r="F5" s="697"/>
      <c r="G5" s="697"/>
      <c r="H5" s="697"/>
      <c r="I5" s="697"/>
      <c r="J5" s="697"/>
      <c r="K5" s="697"/>
      <c r="CF5" s="4">
        <v>28</v>
      </c>
    </row>
    <row r="6" spans="1:84" s="4" customFormat="1" ht="16.899999999999999" customHeight="1">
      <c r="A6" s="21"/>
      <c r="B6" s="7"/>
      <c r="D6" s="358"/>
      <c r="E6" s="712" t="str">
        <f>IF(org=0,"Не определено",org)</f>
        <v>ООО "Восточная Тепловая компания"</v>
      </c>
      <c r="F6" s="712"/>
      <c r="G6" s="712"/>
      <c r="H6" s="712"/>
      <c r="I6" s="712"/>
      <c r="J6" s="712"/>
      <c r="K6" s="712"/>
      <c r="U6" s="46"/>
      <c r="V6" s="46"/>
      <c r="W6" s="7"/>
      <c r="X6" s="7"/>
      <c r="Y6" s="7"/>
      <c r="Z6" s="7"/>
      <c r="AA6" s="7"/>
      <c r="CF6" s="4">
        <v>16</v>
      </c>
    </row>
    <row r="7" spans="1:84" ht="11.45" customHeight="1">
      <c r="K7" s="125"/>
      <c r="L7" s="125"/>
      <c r="M7" s="125"/>
      <c r="R7" s="247"/>
      <c r="CF7" s="4">
        <v>11</v>
      </c>
    </row>
    <row r="8" spans="1:84" s="117" customFormat="1" ht="4.1500000000000004" customHeight="1">
      <c r="A8" s="199"/>
      <c r="B8" s="88"/>
      <c r="K8" s="340"/>
      <c r="L8" s="340"/>
      <c r="M8" s="340"/>
      <c r="R8" s="341"/>
      <c r="U8" s="46"/>
      <c r="V8" s="46"/>
      <c r="W8" s="88"/>
      <c r="X8" s="88"/>
      <c r="Y8" s="88"/>
      <c r="Z8" s="88"/>
      <c r="AA8" s="88"/>
      <c r="CF8" s="117">
        <v>4</v>
      </c>
    </row>
    <row r="9" spans="1:84" ht="19.899999999999999" customHeight="1">
      <c r="D9" s="29"/>
      <c r="E9" s="662" t="s">
        <v>303</v>
      </c>
      <c r="F9" s="666"/>
      <c r="G9" s="666"/>
      <c r="H9" s="666"/>
      <c r="I9" s="666"/>
      <c r="J9" s="666"/>
      <c r="K9" s="666"/>
      <c r="L9" s="666"/>
      <c r="M9" s="666"/>
      <c r="N9" s="666"/>
      <c r="O9" s="666"/>
      <c r="P9" s="666"/>
      <c r="Q9" s="666"/>
      <c r="R9" s="661"/>
      <c r="S9" s="679" t="s">
        <v>304</v>
      </c>
      <c r="T9" s="115"/>
      <c r="CF9" s="4">
        <v>19</v>
      </c>
    </row>
    <row r="10" spans="1:84" ht="48.2" customHeight="1">
      <c r="D10" s="174" t="s">
        <v>88</v>
      </c>
      <c r="E10" s="679" t="s">
        <v>88</v>
      </c>
      <c r="F10" s="679"/>
      <c r="G10" s="29" t="s">
        <v>305</v>
      </c>
      <c r="H10" s="679" t="s">
        <v>88</v>
      </c>
      <c r="I10" s="679"/>
      <c r="J10" s="29" t="s">
        <v>605</v>
      </c>
      <c r="K10" s="29" t="s">
        <v>606</v>
      </c>
      <c r="L10" s="679" t="s">
        <v>88</v>
      </c>
      <c r="M10" s="679"/>
      <c r="N10" s="29" t="s">
        <v>607</v>
      </c>
      <c r="O10" s="29" t="s">
        <v>608</v>
      </c>
      <c r="P10" s="29" t="s">
        <v>609</v>
      </c>
      <c r="Q10" s="29" t="s">
        <v>610</v>
      </c>
      <c r="R10" s="29" t="s">
        <v>611</v>
      </c>
      <c r="S10" s="679"/>
      <c r="T10" s="115"/>
      <c r="CF10" s="4">
        <v>46</v>
      </c>
    </row>
    <row r="11" spans="1:84" s="46" customFormat="1" ht="15" hidden="1" customHeight="1">
      <c r="A11" s="160"/>
      <c r="D11" s="160" t="s">
        <v>110</v>
      </c>
      <c r="E11" s="160"/>
      <c r="F11" s="160" t="s">
        <v>111</v>
      </c>
      <c r="G11" s="160" t="s">
        <v>90</v>
      </c>
      <c r="H11" s="160"/>
      <c r="I11" s="160" t="s">
        <v>91</v>
      </c>
      <c r="J11" s="160" t="s">
        <v>112</v>
      </c>
      <c r="K11" s="160" t="s">
        <v>92</v>
      </c>
      <c r="L11" s="160"/>
      <c r="M11" s="160" t="s">
        <v>93</v>
      </c>
      <c r="N11" s="160" t="s">
        <v>113</v>
      </c>
      <c r="O11" s="160" t="s">
        <v>153</v>
      </c>
      <c r="P11" s="160" t="s">
        <v>154</v>
      </c>
      <c r="Q11" s="160" t="s">
        <v>155</v>
      </c>
      <c r="R11" s="160" t="s">
        <v>156</v>
      </c>
      <c r="S11" s="160" t="s">
        <v>157</v>
      </c>
      <c r="CF11" s="46">
        <v>0</v>
      </c>
    </row>
    <row r="12" spans="1:84" s="4" customFormat="1" ht="1.1499999999999999" customHeight="1">
      <c r="A12" s="21"/>
      <c r="B12" s="7"/>
      <c r="D12" s="160"/>
      <c r="E12" s="23"/>
      <c r="F12" s="23"/>
      <c r="Q12" s="51"/>
      <c r="R12" s="198"/>
      <c r="T12" s="115"/>
      <c r="U12" s="46"/>
      <c r="V12" s="46"/>
      <c r="W12" s="7"/>
      <c r="X12" s="7"/>
      <c r="Y12" s="7"/>
      <c r="Z12" s="7"/>
      <c r="AA12" s="7"/>
      <c r="CF12" s="4">
        <v>1</v>
      </c>
    </row>
    <row r="13" spans="1:84" s="117" customFormat="1" ht="1.1499999999999999" customHeight="1">
      <c r="A13" s="199"/>
      <c r="B13" s="88"/>
      <c r="D13" s="160" t="s">
        <v>379</v>
      </c>
      <c r="E13" s="178"/>
      <c r="F13" s="178"/>
      <c r="G13" s="178"/>
      <c r="H13" s="178"/>
      <c r="I13" s="178"/>
      <c r="J13" s="178"/>
      <c r="K13" s="178"/>
      <c r="L13" s="178"/>
      <c r="M13" s="178"/>
      <c r="N13" s="178"/>
      <c r="O13" s="178"/>
      <c r="P13" s="178"/>
      <c r="Q13" s="178"/>
      <c r="R13" s="178"/>
      <c r="T13" s="115"/>
      <c r="U13" s="46"/>
      <c r="V13" s="46"/>
      <c r="W13" s="88"/>
      <c r="X13" s="88"/>
      <c r="Y13" s="88"/>
      <c r="Z13" s="88"/>
      <c r="AA13" s="88"/>
      <c r="CF13" s="117">
        <v>1</v>
      </c>
    </row>
    <row r="14" spans="1:84" ht="15" hidden="1" customHeight="1">
      <c r="A14" s="22" t="s">
        <v>118</v>
      </c>
      <c r="B14"/>
      <c r="C14"/>
      <c r="D14" s="765" t="s">
        <v>110</v>
      </c>
      <c r="E14" s="728" t="s">
        <v>106</v>
      </c>
      <c r="F14" s="733"/>
      <c r="G14" s="734"/>
      <c r="H14" s="808" t="str">
        <f>IF(A14="","",INDEX(DIFFERENTIATION_UNMERGE_VD,MATCH(A14,DIFFERENTIATION_ID_DIFF,0)))</f>
        <v>Производство тепловой энергии. Некомбинированная выработка; Передача. Тепловая энергия; Сбыт. Тепловая энергия</v>
      </c>
      <c r="I14" s="808"/>
      <c r="J14" s="808"/>
      <c r="K14" s="808"/>
      <c r="L14" s="808"/>
      <c r="M14" s="808"/>
      <c r="N14" s="808"/>
      <c r="O14" s="808"/>
      <c r="P14" s="808"/>
      <c r="Q14" s="808"/>
      <c r="R14" s="808"/>
      <c r="S14" s="169"/>
      <c r="T14" s="89"/>
      <c r="W14" s="43"/>
      <c r="X14" s="43"/>
      <c r="Y14" s="43"/>
      <c r="Z14" s="43"/>
      <c r="AA14" s="46"/>
      <c r="AB14" s="43"/>
      <c r="AC14" s="732"/>
      <c r="AD14" s="43"/>
      <c r="AE14" s="43" t="s">
        <v>22</v>
      </c>
      <c r="AF14" s="43"/>
      <c r="AG14" s="135" t="s">
        <v>612</v>
      </c>
      <c r="AH14" s="200">
        <v>3</v>
      </c>
      <c r="AI14" s="46"/>
      <c r="AJ14" s="46"/>
      <c r="AK14" s="46"/>
      <c r="AL14" s="46"/>
      <c r="AM14" s="46"/>
      <c r="AN14" s="46"/>
      <c r="AO14" s="46"/>
      <c r="AP14" s="46"/>
      <c r="AQ14" s="46"/>
      <c r="AR14" s="46"/>
      <c r="AS14" s="46"/>
      <c r="AT14" s="46"/>
      <c r="AU14" s="46"/>
      <c r="AV14" s="46"/>
      <c r="AW14" s="46"/>
      <c r="AX14" s="46"/>
      <c r="AY14" s="46"/>
      <c r="AZ14" s="46"/>
      <c r="BA14" s="46"/>
      <c r="BB14" s="46"/>
      <c r="BC14" s="46"/>
      <c r="BD14" s="46"/>
      <c r="BE14" s="46"/>
      <c r="BF14" s="46"/>
      <c r="BG14" s="46"/>
      <c r="BH14" s="46"/>
      <c r="BI14" s="46"/>
      <c r="BJ14" s="46"/>
      <c r="BK14" s="46"/>
      <c r="BL14" s="46"/>
      <c r="BM14" s="46"/>
      <c r="BN14" s="46"/>
      <c r="BO14" s="46"/>
      <c r="BP14" s="46"/>
      <c r="BQ14" s="46"/>
      <c r="BR14" s="46"/>
      <c r="BS14" s="46"/>
      <c r="BT14" s="46"/>
      <c r="BU14" s="46"/>
      <c r="BV14" s="43"/>
      <c r="BW14" s="43"/>
      <c r="BX14" s="43"/>
      <c r="BY14" s="43"/>
      <c r="BZ14" s="43"/>
      <c r="CA14" s="43"/>
      <c r="CB14" s="43"/>
      <c r="CC14" s="43"/>
      <c r="CD14" s="43"/>
      <c r="CE14" s="43"/>
      <c r="CF14">
        <v>0</v>
      </c>
    </row>
    <row r="15" spans="1:84" ht="15" hidden="1" customHeight="1">
      <c r="A15" s="22"/>
      <c r="B15"/>
      <c r="C15"/>
      <c r="D15" s="807"/>
      <c r="E15" s="728" t="s">
        <v>567</v>
      </c>
      <c r="F15" s="733"/>
      <c r="G15" s="734"/>
      <c r="H15" s="808" t="str">
        <f>IF(A14="","",INDEX(DIFFERENTIATION_UNMERGE_AREA,MATCH(A14,DIFFERENTIATION_ID_DIFF,0)))</f>
        <v>Территория 1</v>
      </c>
      <c r="I15" s="808"/>
      <c r="J15" s="808"/>
      <c r="K15" s="808"/>
      <c r="L15" s="808"/>
      <c r="M15" s="808"/>
      <c r="N15" s="808"/>
      <c r="O15" s="808"/>
      <c r="P15" s="808"/>
      <c r="Q15" s="808"/>
      <c r="R15" s="808"/>
      <c r="S15" s="169"/>
      <c r="T15" s="89"/>
      <c r="W15" s="43"/>
      <c r="X15" s="43"/>
      <c r="Y15" s="43"/>
      <c r="Z15" s="43"/>
      <c r="AA15" s="46"/>
      <c r="AB15" s="43"/>
      <c r="AC15" s="732"/>
      <c r="AD15" s="43"/>
      <c r="AE15" s="43"/>
      <c r="AF15" s="43"/>
      <c r="AG15" s="135"/>
      <c r="AH15" s="200"/>
      <c r="AI15" s="46"/>
      <c r="AJ15" s="46"/>
      <c r="AK15" s="46"/>
      <c r="AL15" s="46"/>
      <c r="AM15" s="46"/>
      <c r="AN15" s="46"/>
      <c r="AO15" s="46"/>
      <c r="AP15" s="46"/>
      <c r="AQ15" s="46"/>
      <c r="AR15" s="46"/>
      <c r="AS15" s="46"/>
      <c r="AT15" s="46"/>
      <c r="AU15" s="46"/>
      <c r="AV15" s="46"/>
      <c r="AW15" s="46"/>
      <c r="AX15" s="46"/>
      <c r="AY15" s="46"/>
      <c r="AZ15" s="46"/>
      <c r="BA15" s="46"/>
      <c r="BB15" s="46"/>
      <c r="BC15" s="46"/>
      <c r="BD15" s="46"/>
      <c r="BE15" s="46"/>
      <c r="BF15" s="46"/>
      <c r="BG15" s="46"/>
      <c r="BH15" s="46"/>
      <c r="BI15" s="46"/>
      <c r="BJ15" s="46"/>
      <c r="BK15" s="46"/>
      <c r="BL15" s="46"/>
      <c r="BM15" s="46"/>
      <c r="BN15" s="46"/>
      <c r="BO15" s="46"/>
      <c r="BP15" s="46"/>
      <c r="BQ15" s="46"/>
      <c r="BR15" s="46"/>
      <c r="BS15" s="46"/>
      <c r="BT15" s="46"/>
      <c r="BU15" s="46"/>
      <c r="BV15" s="43"/>
      <c r="BW15" s="43"/>
      <c r="BX15" s="43"/>
      <c r="BY15" s="43"/>
      <c r="BZ15" s="43"/>
      <c r="CA15" s="43"/>
      <c r="CB15" s="43"/>
      <c r="CC15" s="43"/>
      <c r="CD15" s="43"/>
      <c r="CE15" s="43"/>
      <c r="CF15">
        <v>0</v>
      </c>
    </row>
    <row r="16" spans="1:84" ht="15" hidden="1" customHeight="1">
      <c r="A16" s="22"/>
      <c r="B16"/>
      <c r="C16"/>
      <c r="D16" s="807"/>
      <c r="E16" s="728" t="s">
        <v>568</v>
      </c>
      <c r="F16" s="733"/>
      <c r="G16" s="734"/>
      <c r="H16" s="808" t="str">
        <f>IF(A14="","",INDEX(DIFFERENTIATION_UNMERGE_SYSTEM,MATCH(A14,DIFFERENTIATION_ID_DIFF,0)))</f>
        <v>д. Кисловка</v>
      </c>
      <c r="I16" s="808"/>
      <c r="J16" s="808"/>
      <c r="K16" s="808"/>
      <c r="L16" s="808"/>
      <c r="M16" s="808"/>
      <c r="N16" s="808"/>
      <c r="O16" s="808"/>
      <c r="P16" s="808"/>
      <c r="Q16" s="808"/>
      <c r="R16" s="808"/>
      <c r="S16" s="169"/>
      <c r="T16" s="89"/>
      <c r="W16" s="43"/>
      <c r="X16" s="43"/>
      <c r="Y16" s="43"/>
      <c r="Z16" s="43"/>
      <c r="AA16" s="46"/>
      <c r="AB16" s="43"/>
      <c r="AC16" s="732"/>
      <c r="AD16" s="43"/>
      <c r="AE16" s="43"/>
      <c r="AF16" s="43"/>
      <c r="AG16" s="135"/>
      <c r="AH16" s="200"/>
      <c r="AI16" s="46"/>
      <c r="AJ16" s="46"/>
      <c r="AK16" s="46"/>
      <c r="AL16" s="46"/>
      <c r="AM16" s="46"/>
      <c r="AN16" s="46"/>
      <c r="AO16" s="46"/>
      <c r="AP16" s="46"/>
      <c r="AQ16" s="46"/>
      <c r="AR16" s="46"/>
      <c r="AS16" s="46"/>
      <c r="AT16" s="46"/>
      <c r="AU16" s="46"/>
      <c r="AV16" s="46"/>
      <c r="AW16" s="46"/>
      <c r="AX16" s="46"/>
      <c r="AY16" s="46"/>
      <c r="AZ16" s="46"/>
      <c r="BA16" s="46"/>
      <c r="BB16" s="46"/>
      <c r="BC16" s="46"/>
      <c r="BD16" s="46"/>
      <c r="BE16" s="46"/>
      <c r="BF16" s="46"/>
      <c r="BG16" s="46"/>
      <c r="BH16" s="46"/>
      <c r="BI16" s="46"/>
      <c r="BJ16" s="46"/>
      <c r="BK16" s="46"/>
      <c r="BL16" s="46"/>
      <c r="BM16" s="46"/>
      <c r="BN16" s="46"/>
      <c r="BO16" s="46"/>
      <c r="BP16" s="46"/>
      <c r="BQ16" s="46"/>
      <c r="BR16" s="46"/>
      <c r="BS16" s="46"/>
      <c r="BT16" s="46"/>
      <c r="BU16" s="46"/>
      <c r="BV16" s="43"/>
      <c r="BW16" s="43"/>
      <c r="BX16" s="43"/>
      <c r="BY16" s="43"/>
      <c r="BZ16" s="43"/>
      <c r="CA16" s="43"/>
      <c r="CB16" s="43"/>
      <c r="CC16" s="43"/>
      <c r="CD16" s="43"/>
      <c r="CE16" s="43"/>
      <c r="CF16">
        <v>0</v>
      </c>
    </row>
    <row r="17" spans="1:84" ht="22.5" hidden="1" customHeight="1">
      <c r="A17" s="43"/>
      <c r="B17" s="43"/>
      <c r="C17" s="22"/>
      <c r="D17" s="807"/>
      <c r="E17" s="676" t="s">
        <v>613</v>
      </c>
      <c r="F17" s="676"/>
      <c r="G17" s="676"/>
      <c r="H17" s="676"/>
      <c r="I17" s="676"/>
      <c r="J17" s="676"/>
      <c r="K17" s="676"/>
      <c r="L17" s="676"/>
      <c r="M17" s="676"/>
      <c r="N17" s="676"/>
      <c r="O17" s="676"/>
      <c r="P17" s="676"/>
      <c r="Q17" s="177">
        <f>SUMIF(T18:T19,"i",Q18:Q19)</f>
        <v>0</v>
      </c>
      <c r="R17" s="339"/>
      <c r="S17" s="29" t="s">
        <v>614</v>
      </c>
      <c r="T17" s="89" t="s">
        <v>615</v>
      </c>
      <c r="U17" s="748">
        <v>1</v>
      </c>
      <c r="V17" s="748" t="str">
        <f>INDEX(B_FHD_FLAG_INDEX_1,1,MATCH(A14,B_FHD_FLAG_DIFFERENTIATION,0))</f>
        <v>отсутствует</v>
      </c>
      <c r="W17" s="43"/>
      <c r="X17" s="43"/>
      <c r="Y17" s="43"/>
      <c r="Z17" s="43"/>
      <c r="AA17" s="46"/>
      <c r="AB17" s="43"/>
      <c r="AC17" s="732"/>
      <c r="AD17" s="43"/>
      <c r="AE17" s="43"/>
      <c r="AF17" s="43"/>
      <c r="AG17" s="46"/>
      <c r="AH17" s="46"/>
      <c r="AI17" s="46"/>
      <c r="AJ17" s="46"/>
      <c r="AK17" s="46"/>
      <c r="AL17" s="46"/>
      <c r="AM17" s="46"/>
      <c r="AN17" s="46"/>
      <c r="AO17" s="46"/>
      <c r="AP17" s="46"/>
      <c r="AQ17" s="46"/>
      <c r="AR17" s="46"/>
      <c r="AS17" s="46"/>
      <c r="AT17" s="46"/>
      <c r="AU17" s="46"/>
      <c r="AV17" s="46"/>
      <c r="AW17" s="46"/>
      <c r="AX17" s="46"/>
      <c r="AY17" s="46"/>
      <c r="AZ17" s="46"/>
      <c r="BA17" s="46"/>
      <c r="BB17" s="46"/>
      <c r="BC17" s="46"/>
      <c r="BD17" s="46"/>
      <c r="BE17" s="46"/>
      <c r="BF17" s="46"/>
      <c r="BG17" s="46"/>
      <c r="BH17" s="46"/>
      <c r="BI17" s="46"/>
      <c r="BJ17" s="46"/>
      <c r="BK17" s="46"/>
      <c r="BL17" s="46"/>
      <c r="BM17" s="46"/>
      <c r="BN17" s="46"/>
      <c r="BO17" s="46"/>
      <c r="BP17" s="46"/>
      <c r="BQ17" s="46"/>
      <c r="BR17" s="46"/>
      <c r="BS17" s="46"/>
      <c r="BT17" s="46"/>
      <c r="BU17" s="46"/>
      <c r="BV17" s="43"/>
      <c r="BW17" s="43"/>
      <c r="BX17" s="43"/>
      <c r="BY17" s="43"/>
      <c r="BZ17" s="43"/>
      <c r="CA17" s="43"/>
      <c r="CB17" s="43"/>
      <c r="CC17" s="43"/>
      <c r="CD17" s="43"/>
      <c r="CE17" s="43"/>
      <c r="CF17">
        <v>0</v>
      </c>
    </row>
    <row r="18" spans="1:84" ht="11.25" hidden="1" customHeight="1">
      <c r="A18" s="46"/>
      <c r="B18" s="46"/>
      <c r="C18" s="46"/>
      <c r="D18" s="807"/>
      <c r="E18" s="174"/>
      <c r="F18" s="174">
        <v>0</v>
      </c>
      <c r="G18" s="174"/>
      <c r="H18" s="174"/>
      <c r="I18" s="174"/>
      <c r="J18" s="174"/>
      <c r="K18" s="174"/>
      <c r="L18" s="174"/>
      <c r="M18" s="174"/>
      <c r="N18" s="174"/>
      <c r="O18" s="174"/>
      <c r="P18" s="174"/>
      <c r="Q18" s="174"/>
      <c r="R18" s="174"/>
      <c r="S18" s="174"/>
      <c r="T18" s="89"/>
      <c r="U18" s="748"/>
      <c r="V18" s="748"/>
      <c r="W18" s="46"/>
      <c r="X18" s="46"/>
      <c r="Y18" s="46"/>
      <c r="Z18" s="46"/>
      <c r="AA18" s="46"/>
      <c r="AB18" s="43"/>
      <c r="AC18" s="732"/>
      <c r="AD18" s="43"/>
      <c r="AE18" s="43"/>
      <c r="AF18" s="43"/>
      <c r="AG18" s="46"/>
      <c r="AH18" s="46"/>
      <c r="AI18" s="46"/>
      <c r="AJ18" s="46"/>
      <c r="AK18" s="46"/>
      <c r="AL18" s="46"/>
      <c r="AM18" s="46"/>
      <c r="AN18" s="46"/>
      <c r="AO18" s="46"/>
      <c r="AP18" s="46"/>
      <c r="AQ18" s="46"/>
      <c r="AR18" s="46"/>
      <c r="AS18" s="46"/>
      <c r="AT18" s="46"/>
      <c r="AU18" s="46"/>
      <c r="AV18" s="46"/>
      <c r="AW18" s="46"/>
      <c r="AX18" s="46"/>
      <c r="AY18" s="46"/>
      <c r="AZ18" s="46"/>
      <c r="BA18" s="46"/>
      <c r="BB18" s="46"/>
      <c r="BC18" s="46"/>
      <c r="BD18" s="46"/>
      <c r="BE18" s="46"/>
      <c r="BF18" s="46"/>
      <c r="BG18" s="46"/>
      <c r="BH18" s="46"/>
      <c r="BI18" s="46"/>
      <c r="BJ18" s="46"/>
      <c r="BK18" s="46"/>
      <c r="BL18" s="46"/>
      <c r="BM18" s="46"/>
      <c r="BN18" s="46"/>
      <c r="BO18" s="46"/>
      <c r="BP18" s="46"/>
      <c r="BQ18" s="46"/>
      <c r="BR18" s="46"/>
      <c r="BS18" s="46"/>
      <c r="BT18" s="46"/>
      <c r="BU18" s="46"/>
      <c r="BV18" s="46"/>
      <c r="BW18" s="46"/>
      <c r="BX18" s="46"/>
      <c r="BY18" s="46"/>
      <c r="BZ18" s="46"/>
      <c r="CA18" s="46"/>
      <c r="CB18" s="46"/>
      <c r="CC18" s="46"/>
      <c r="CD18" s="46"/>
      <c r="CE18" s="46"/>
      <c r="CF18">
        <v>0</v>
      </c>
    </row>
    <row r="19" spans="1:84" ht="11.25" hidden="1" customHeight="1">
      <c r="A19" s="43"/>
      <c r="B19" s="43"/>
      <c r="C19" s="22"/>
      <c r="D19" s="807"/>
      <c r="E19" s="98" t="s">
        <v>22</v>
      </c>
      <c r="F19" s="37" t="s">
        <v>22</v>
      </c>
      <c r="G19" s="37" t="s">
        <v>22</v>
      </c>
      <c r="H19" s="37" t="s">
        <v>22</v>
      </c>
      <c r="I19" s="37"/>
      <c r="J19" s="37"/>
      <c r="K19" s="37"/>
      <c r="L19" s="37"/>
      <c r="M19" s="37"/>
      <c r="N19" s="37"/>
      <c r="O19" s="37"/>
      <c r="P19" s="37"/>
      <c r="Q19" s="37"/>
      <c r="R19" s="26"/>
      <c r="S19" s="101"/>
      <c r="T19" s="89"/>
      <c r="U19" s="748"/>
      <c r="V19" s="748"/>
      <c r="W19" s="43"/>
      <c r="X19" s="43"/>
      <c r="Y19" s="43"/>
      <c r="Z19" s="43"/>
      <c r="AA19" s="46"/>
      <c r="AB19" s="43"/>
      <c r="AC19" s="732"/>
      <c r="AD19" s="43"/>
      <c r="AE19" s="43"/>
      <c r="AF19" s="43"/>
      <c r="AG19" s="46"/>
      <c r="AH19" s="46"/>
      <c r="AI19" s="46"/>
      <c r="AJ19" s="46"/>
      <c r="AK19" s="46"/>
      <c r="AL19" s="46"/>
      <c r="AM19" s="46"/>
      <c r="AN19" s="46"/>
      <c r="AO19" s="46"/>
      <c r="AP19" s="46"/>
      <c r="AQ19" s="46"/>
      <c r="AR19" s="46"/>
      <c r="AS19" s="46"/>
      <c r="AT19" s="46"/>
      <c r="AU19" s="46"/>
      <c r="AV19" s="46"/>
      <c r="AW19" s="46"/>
      <c r="AX19" s="46"/>
      <c r="AY19" s="46"/>
      <c r="AZ19" s="46"/>
      <c r="BA19" s="46"/>
      <c r="BB19" s="46"/>
      <c r="BC19" s="46"/>
      <c r="BD19" s="46"/>
      <c r="BE19" s="46"/>
      <c r="BF19" s="46"/>
      <c r="BG19" s="46"/>
      <c r="BH19" s="46"/>
      <c r="BI19" s="46"/>
      <c r="BJ19" s="46"/>
      <c r="BK19" s="46"/>
      <c r="BL19" s="46"/>
      <c r="BM19" s="46"/>
      <c r="BN19" s="46"/>
      <c r="BO19" s="46"/>
      <c r="BP19" s="46"/>
      <c r="BQ19" s="46"/>
      <c r="BR19" s="46"/>
      <c r="BS19" s="46"/>
      <c r="BT19" s="46"/>
      <c r="BU19" s="46"/>
      <c r="BV19" s="43"/>
      <c r="BW19" s="43"/>
      <c r="BX19" s="43"/>
      <c r="BY19" s="43"/>
      <c r="BZ19" s="43"/>
      <c r="CA19" s="43"/>
      <c r="CB19" s="43"/>
      <c r="CC19" s="43"/>
      <c r="CD19" s="43"/>
      <c r="CE19" s="43"/>
      <c r="CF19">
        <v>0</v>
      </c>
    </row>
    <row r="20" spans="1:84" ht="22.5" hidden="1" customHeight="1">
      <c r="A20" s="43"/>
      <c r="B20" s="43"/>
      <c r="C20" s="22"/>
      <c r="D20" s="807"/>
      <c r="E20" s="676" t="s">
        <v>616</v>
      </c>
      <c r="F20" s="676"/>
      <c r="G20" s="676"/>
      <c r="H20" s="676"/>
      <c r="I20" s="676"/>
      <c r="J20" s="676"/>
      <c r="K20" s="676"/>
      <c r="L20" s="676"/>
      <c r="M20" s="676"/>
      <c r="N20" s="676"/>
      <c r="O20" s="676"/>
      <c r="P20" s="676"/>
      <c r="Q20" s="177">
        <f>SUMIF(T21:T22,"i",Q21:Q22)</f>
        <v>0</v>
      </c>
      <c r="R20" s="339"/>
      <c r="S20" s="29" t="s">
        <v>617</v>
      </c>
      <c r="T20" s="89" t="s">
        <v>615</v>
      </c>
      <c r="U20" s="748">
        <v>2</v>
      </c>
      <c r="V20" s="748" t="str">
        <f>INDEX(B_FHD_FLAG_INDEX_2,1,MATCH(A14,B_FHD_FLAG_DIFFERENTIATION,0))</f>
        <v>отсутствует</v>
      </c>
      <c r="W20" s="43"/>
      <c r="X20" s="43"/>
      <c r="Y20" s="43"/>
      <c r="Z20" s="43"/>
      <c r="AA20" s="46"/>
      <c r="AB20" s="43"/>
      <c r="AC20" s="43"/>
      <c r="AD20" s="43"/>
      <c r="AE20" s="43"/>
      <c r="AF20" s="43"/>
      <c r="AG20" s="46"/>
      <c r="AH20" s="46"/>
      <c r="AI20" s="46"/>
      <c r="AJ20" s="46"/>
      <c r="AK20" s="46"/>
      <c r="AL20" s="46"/>
      <c r="AM20" s="46"/>
      <c r="AN20" s="46"/>
      <c r="AO20" s="46"/>
      <c r="AP20" s="46"/>
      <c r="AQ20" s="46"/>
      <c r="AR20" s="46"/>
      <c r="AS20" s="46"/>
      <c r="AT20" s="46"/>
      <c r="AU20" s="46"/>
      <c r="AV20" s="46"/>
      <c r="AW20" s="46"/>
      <c r="AX20" s="46"/>
      <c r="AY20" s="46"/>
      <c r="AZ20" s="46"/>
      <c r="BA20" s="46"/>
      <c r="BB20" s="46"/>
      <c r="BC20" s="46"/>
      <c r="BD20" s="46"/>
      <c r="BE20" s="46"/>
      <c r="BF20" s="46"/>
      <c r="BG20" s="46"/>
      <c r="BH20" s="46"/>
      <c r="BI20" s="46"/>
      <c r="BJ20" s="46"/>
      <c r="BK20" s="46"/>
      <c r="BL20" s="46"/>
      <c r="BM20" s="46"/>
      <c r="BN20" s="46"/>
      <c r="BO20" s="46"/>
      <c r="BP20" s="46"/>
      <c r="BQ20" s="46"/>
      <c r="BR20" s="46"/>
      <c r="BS20" s="46"/>
      <c r="BT20" s="46"/>
      <c r="BU20" s="46"/>
      <c r="BV20" s="43"/>
      <c r="BW20" s="43"/>
      <c r="BX20" s="43"/>
      <c r="BY20" s="43"/>
      <c r="BZ20" s="43"/>
      <c r="CA20" s="43"/>
      <c r="CB20" s="43"/>
      <c r="CC20" s="43"/>
      <c r="CD20" s="43"/>
      <c r="CE20" s="43"/>
      <c r="CF20">
        <v>0</v>
      </c>
    </row>
    <row r="21" spans="1:84" ht="11.25" hidden="1" customHeight="1">
      <c r="A21" s="46"/>
      <c r="B21" s="46"/>
      <c r="C21" s="46"/>
      <c r="D21" s="807"/>
      <c r="E21" s="174"/>
      <c r="F21" s="174">
        <v>0</v>
      </c>
      <c r="G21" s="174"/>
      <c r="H21" s="174"/>
      <c r="I21" s="174"/>
      <c r="J21" s="174"/>
      <c r="K21" s="174"/>
      <c r="L21" s="174"/>
      <c r="M21" s="174"/>
      <c r="N21" s="174"/>
      <c r="O21" s="174"/>
      <c r="P21" s="174"/>
      <c r="Q21" s="174"/>
      <c r="R21" s="174"/>
      <c r="S21" s="174"/>
      <c r="T21" s="89"/>
      <c r="U21" s="748"/>
      <c r="V21" s="748"/>
      <c r="W21" s="46"/>
      <c r="X21" s="46"/>
      <c r="Y21" s="46"/>
      <c r="Z21" s="46"/>
      <c r="AA21" s="46"/>
      <c r="AB21" s="43"/>
      <c r="AC21" s="43"/>
      <c r="AD21" s="43"/>
      <c r="AE21" s="43"/>
      <c r="AF21" s="43"/>
      <c r="AG21" s="46"/>
      <c r="AH21" s="46"/>
      <c r="AI21" s="46"/>
      <c r="AJ21" s="46"/>
      <c r="AK21" s="46"/>
      <c r="AL21" s="46"/>
      <c r="AM21" s="46"/>
      <c r="AN21" s="46"/>
      <c r="AO21" s="46"/>
      <c r="AP21" s="46"/>
      <c r="AQ21" s="46"/>
      <c r="AR21" s="46"/>
      <c r="AS21" s="46"/>
      <c r="AT21" s="46"/>
      <c r="AU21" s="46"/>
      <c r="AV21" s="46"/>
      <c r="AW21" s="46"/>
      <c r="AX21" s="46"/>
      <c r="AY21" s="46"/>
      <c r="AZ21" s="46"/>
      <c r="BA21" s="46"/>
      <c r="BB21" s="46"/>
      <c r="BC21" s="46"/>
      <c r="BD21" s="46"/>
      <c r="BE21" s="46"/>
      <c r="BF21" s="46"/>
      <c r="BG21" s="46"/>
      <c r="BH21" s="46"/>
      <c r="BI21" s="46"/>
      <c r="BJ21" s="46"/>
      <c r="BK21" s="46"/>
      <c r="BL21" s="46"/>
      <c r="BM21" s="46"/>
      <c r="BN21" s="46"/>
      <c r="BO21" s="46"/>
      <c r="BP21" s="46"/>
      <c r="BQ21" s="46"/>
      <c r="BR21" s="46"/>
      <c r="BS21" s="46"/>
      <c r="BT21" s="46"/>
      <c r="BU21" s="46"/>
      <c r="BV21" s="46"/>
      <c r="BW21" s="46"/>
      <c r="BX21" s="46"/>
      <c r="BY21" s="46"/>
      <c r="BZ21" s="46"/>
      <c r="CA21" s="46"/>
      <c r="CB21" s="46"/>
      <c r="CC21" s="46"/>
      <c r="CD21" s="46"/>
      <c r="CE21" s="46"/>
      <c r="CF21">
        <v>0</v>
      </c>
    </row>
    <row r="22" spans="1:84" ht="11.25" hidden="1" customHeight="1">
      <c r="A22" s="43"/>
      <c r="B22" s="43"/>
      <c r="C22" s="22"/>
      <c r="D22" s="766"/>
      <c r="E22" s="98" t="s">
        <v>22</v>
      </c>
      <c r="F22" s="37" t="s">
        <v>22</v>
      </c>
      <c r="G22" s="37" t="s">
        <v>22</v>
      </c>
      <c r="H22" s="37" t="s">
        <v>22</v>
      </c>
      <c r="I22" s="37"/>
      <c r="J22" s="37"/>
      <c r="K22" s="37"/>
      <c r="L22" s="37"/>
      <c r="M22" s="37"/>
      <c r="N22" s="37"/>
      <c r="O22" s="37"/>
      <c r="P22" s="37"/>
      <c r="Q22" s="37"/>
      <c r="R22" s="26"/>
      <c r="S22" s="101"/>
      <c r="T22" s="89"/>
      <c r="U22" s="748"/>
      <c r="V22" s="748"/>
      <c r="W22" s="43"/>
      <c r="X22" s="43"/>
      <c r="Y22" s="43"/>
      <c r="Z22" s="43"/>
      <c r="AA22" s="46"/>
      <c r="AB22" s="43"/>
      <c r="AC22" s="43"/>
      <c r="AD22" s="43"/>
      <c r="AE22" s="43"/>
      <c r="AF22" s="43"/>
      <c r="AG22" s="46"/>
      <c r="AH22" s="46"/>
      <c r="AI22" s="46"/>
      <c r="AJ22" s="46"/>
      <c r="AK22" s="46"/>
      <c r="AL22" s="46"/>
      <c r="AM22" s="46"/>
      <c r="AN22" s="46"/>
      <c r="AO22" s="46"/>
      <c r="AP22" s="46"/>
      <c r="AQ22" s="46"/>
      <c r="AR22" s="46"/>
      <c r="AS22" s="46"/>
      <c r="AT22" s="46"/>
      <c r="AU22" s="46"/>
      <c r="AV22" s="46"/>
      <c r="AW22" s="46"/>
      <c r="AX22" s="46"/>
      <c r="AY22" s="46"/>
      <c r="AZ22" s="46"/>
      <c r="BA22" s="46"/>
      <c r="BB22" s="46"/>
      <c r="BC22" s="46"/>
      <c r="BD22" s="46"/>
      <c r="BE22" s="46"/>
      <c r="BF22" s="46"/>
      <c r="BG22" s="46"/>
      <c r="BH22" s="46"/>
      <c r="BI22" s="46"/>
      <c r="BJ22" s="46"/>
      <c r="BK22" s="46"/>
      <c r="BL22" s="46"/>
      <c r="BM22" s="46"/>
      <c r="BN22" s="46"/>
      <c r="BO22" s="46"/>
      <c r="BP22" s="46"/>
      <c r="BQ22" s="46"/>
      <c r="BR22" s="46"/>
      <c r="BS22" s="46"/>
      <c r="BT22" s="46"/>
      <c r="BU22" s="46"/>
      <c r="BV22" s="43"/>
      <c r="BW22" s="43"/>
      <c r="BX22" s="43"/>
      <c r="BY22" s="43"/>
      <c r="BZ22" s="43"/>
      <c r="CA22" s="43"/>
      <c r="CB22" s="43"/>
      <c r="CC22" s="43"/>
      <c r="CD22" s="43"/>
      <c r="CE22" s="43"/>
      <c r="CF22">
        <v>0</v>
      </c>
    </row>
    <row r="23" spans="1:84" ht="15" hidden="1" customHeight="1">
      <c r="A23" s="22" t="s">
        <v>124</v>
      </c>
      <c r="B23"/>
      <c r="C23" t="s">
        <v>22</v>
      </c>
      <c r="D23" s="673" t="s">
        <v>155</v>
      </c>
      <c r="E23" s="728" t="s">
        <v>106</v>
      </c>
      <c r="F23" s="733"/>
      <c r="G23" s="734"/>
      <c r="H23" s="808" t="str">
        <f>IF(A23="","",INDEX(DIFFERENTIATION_UNMERGE_VD,MATCH(A23,DIFFERENTIATION_ID_DIFF,0)))</f>
        <v>Производство. Теплоноситель; Передача. Теплоноситель; Сбыт. Теплоноситель</v>
      </c>
      <c r="I23" s="808"/>
      <c r="J23" s="808"/>
      <c r="K23" s="808"/>
      <c r="L23" s="808"/>
      <c r="M23" s="808"/>
      <c r="N23" s="808"/>
      <c r="O23" s="808"/>
      <c r="P23" s="808"/>
      <c r="Q23" s="808"/>
      <c r="R23" s="808"/>
      <c r="S23" s="169"/>
      <c r="T23" s="89"/>
      <c r="W23" s="43"/>
      <c r="X23" s="43"/>
      <c r="Y23" s="43"/>
      <c r="Z23" s="43"/>
      <c r="AA23" s="46"/>
      <c r="AB23" s="43"/>
      <c r="AC23" s="732"/>
      <c r="AD23" s="43"/>
      <c r="AE23" s="43" t="s">
        <v>22</v>
      </c>
      <c r="AF23" s="43"/>
      <c r="AG23" s="135" t="s">
        <v>612</v>
      </c>
      <c r="AH23" s="200">
        <v>3</v>
      </c>
      <c r="AI23" s="46"/>
      <c r="AJ23" s="46"/>
      <c r="AK23" s="46"/>
      <c r="AL23" s="46"/>
      <c r="AM23" s="46"/>
      <c r="AN23" s="46"/>
      <c r="AO23" s="46"/>
      <c r="AP23" s="46"/>
      <c r="AQ23" s="46"/>
      <c r="AR23" s="46"/>
      <c r="AS23" s="46"/>
      <c r="AT23" s="46"/>
      <c r="AU23" s="46"/>
      <c r="AV23" s="46"/>
      <c r="AW23" s="46"/>
      <c r="AX23" s="46"/>
      <c r="AY23" s="46"/>
      <c r="AZ23" s="46"/>
      <c r="BA23" s="46"/>
      <c r="BB23" s="46"/>
      <c r="BC23" s="46"/>
      <c r="BD23" s="46"/>
      <c r="BE23" s="46"/>
      <c r="BF23" s="46"/>
      <c r="BG23" s="46"/>
      <c r="BH23" s="46"/>
      <c r="BI23" s="46"/>
      <c r="BJ23" s="46"/>
      <c r="BK23" s="46"/>
      <c r="BL23" s="46"/>
      <c r="BM23" s="46"/>
      <c r="BN23" s="46"/>
      <c r="BO23" s="46"/>
      <c r="BP23" s="46"/>
      <c r="BQ23" s="46"/>
      <c r="BR23" s="46"/>
      <c r="BS23" s="46"/>
      <c r="BT23" s="46"/>
      <c r="BU23" s="46"/>
      <c r="BV23" s="43"/>
      <c r="BW23" s="43"/>
      <c r="BX23" s="43"/>
      <c r="BY23" s="43"/>
      <c r="BZ23" s="43"/>
      <c r="CA23" s="43"/>
      <c r="CB23" s="43"/>
      <c r="CC23" s="43"/>
      <c r="CD23" s="43"/>
      <c r="CE23" s="43"/>
      <c r="CF23"/>
    </row>
    <row r="24" spans="1:84" ht="15" hidden="1" customHeight="1">
      <c r="A24" s="22"/>
      <c r="B24"/>
      <c r="C24"/>
      <c r="D24" s="705"/>
      <c r="E24" s="728" t="s">
        <v>567</v>
      </c>
      <c r="F24" s="733"/>
      <c r="G24" s="734"/>
      <c r="H24" s="808" t="str">
        <f>IF(A23="","",INDEX(DIFFERENTIATION_UNMERGE_AREA,MATCH(A23,DIFFERENTIATION_ID_DIFF,0)))</f>
        <v/>
      </c>
      <c r="I24" s="808"/>
      <c r="J24" s="808"/>
      <c r="K24" s="808"/>
      <c r="L24" s="808"/>
      <c r="M24" s="808"/>
      <c r="N24" s="808"/>
      <c r="O24" s="808"/>
      <c r="P24" s="808"/>
      <c r="Q24" s="808"/>
      <c r="R24" s="808"/>
      <c r="S24" s="169"/>
      <c r="T24" s="89"/>
      <c r="W24" s="43"/>
      <c r="X24" s="43"/>
      <c r="Y24" s="43"/>
      <c r="Z24" s="43"/>
      <c r="AA24" s="46"/>
      <c r="AB24" s="43"/>
      <c r="AC24" s="732"/>
      <c r="AD24" s="43"/>
      <c r="AE24" s="43"/>
      <c r="AF24" s="43"/>
      <c r="AG24" s="135"/>
      <c r="AH24" s="200"/>
      <c r="AI24" s="46"/>
      <c r="AJ24" s="46"/>
      <c r="AK24" s="46"/>
      <c r="AL24" s="46"/>
      <c r="AM24" s="46"/>
      <c r="AN24" s="46"/>
      <c r="AO24" s="46"/>
      <c r="AP24" s="46"/>
      <c r="AQ24" s="46"/>
      <c r="AR24" s="46"/>
      <c r="AS24" s="46"/>
      <c r="AT24" s="46"/>
      <c r="AU24" s="46"/>
      <c r="AV24" s="46"/>
      <c r="AW24" s="46"/>
      <c r="AX24" s="46"/>
      <c r="AY24" s="46"/>
      <c r="AZ24" s="46"/>
      <c r="BA24" s="46"/>
      <c r="BB24" s="46"/>
      <c r="BC24" s="46"/>
      <c r="BD24" s="46"/>
      <c r="BE24" s="46"/>
      <c r="BF24" s="46"/>
      <c r="BG24" s="46"/>
      <c r="BH24" s="46"/>
      <c r="BI24" s="46"/>
      <c r="BJ24" s="46"/>
      <c r="BK24" s="46"/>
      <c r="BL24" s="46"/>
      <c r="BM24" s="46"/>
      <c r="BN24" s="46"/>
      <c r="BO24" s="46"/>
      <c r="BP24" s="46"/>
      <c r="BQ24" s="46"/>
      <c r="BR24" s="46"/>
      <c r="BS24" s="46"/>
      <c r="BT24" s="46"/>
      <c r="BU24" s="46"/>
      <c r="BV24" s="43"/>
      <c r="BW24" s="43"/>
      <c r="BX24" s="43"/>
      <c r="BY24" s="43"/>
      <c r="BZ24" s="43"/>
      <c r="CA24" s="43"/>
      <c r="CB24" s="43"/>
      <c r="CC24" s="43"/>
      <c r="CD24" s="43"/>
      <c r="CE24" s="43"/>
      <c r="CF24"/>
    </row>
    <row r="25" spans="1:84" ht="15" hidden="1" customHeight="1">
      <c r="A25" s="22"/>
      <c r="B25"/>
      <c r="C25"/>
      <c r="D25" s="705"/>
      <c r="E25" s="728" t="s">
        <v>568</v>
      </c>
      <c r="F25" s="733"/>
      <c r="G25" s="734"/>
      <c r="H25" s="808" t="str">
        <f>IF(A23="","",INDEX(DIFFERENTIATION_UNMERGE_SYSTEM,MATCH(A23,DIFFERENTIATION_ID_DIFF,0)))</f>
        <v>д. Кисловка</v>
      </c>
      <c r="I25" s="808"/>
      <c r="J25" s="808"/>
      <c r="K25" s="808"/>
      <c r="L25" s="808"/>
      <c r="M25" s="808"/>
      <c r="N25" s="808"/>
      <c r="O25" s="808"/>
      <c r="P25" s="808"/>
      <c r="Q25" s="808"/>
      <c r="R25" s="808"/>
      <c r="S25" s="169"/>
      <c r="T25" s="89"/>
      <c r="W25" s="43"/>
      <c r="X25" s="43"/>
      <c r="Y25" s="43"/>
      <c r="Z25" s="43"/>
      <c r="AA25" s="46"/>
      <c r="AB25" s="43"/>
      <c r="AC25" s="732"/>
      <c r="AD25" s="43"/>
      <c r="AE25" s="43"/>
      <c r="AF25" s="43"/>
      <c r="AG25" s="135"/>
      <c r="AH25" s="200"/>
      <c r="AI25" s="46"/>
      <c r="AJ25" s="46"/>
      <c r="AK25" s="46"/>
      <c r="AL25" s="46"/>
      <c r="AM25" s="46"/>
      <c r="AN25" s="46"/>
      <c r="AO25" s="46"/>
      <c r="AP25" s="46"/>
      <c r="AQ25" s="46"/>
      <c r="AR25" s="46"/>
      <c r="AS25" s="46"/>
      <c r="AT25" s="46"/>
      <c r="AU25" s="46"/>
      <c r="AV25" s="46"/>
      <c r="AW25" s="46"/>
      <c r="AX25" s="46"/>
      <c r="AY25" s="46"/>
      <c r="AZ25" s="46"/>
      <c r="BA25" s="46"/>
      <c r="BB25" s="46"/>
      <c r="BC25" s="46"/>
      <c r="BD25" s="46"/>
      <c r="BE25" s="46"/>
      <c r="BF25" s="46"/>
      <c r="BG25" s="46"/>
      <c r="BH25" s="46"/>
      <c r="BI25" s="46"/>
      <c r="BJ25" s="46"/>
      <c r="BK25" s="46"/>
      <c r="BL25" s="46"/>
      <c r="BM25" s="46"/>
      <c r="BN25" s="46"/>
      <c r="BO25" s="46"/>
      <c r="BP25" s="46"/>
      <c r="BQ25" s="46"/>
      <c r="BR25" s="46"/>
      <c r="BS25" s="46"/>
      <c r="BT25" s="46"/>
      <c r="BU25" s="46"/>
      <c r="BV25" s="43"/>
      <c r="BW25" s="43"/>
      <c r="BX25" s="43"/>
      <c r="BY25" s="43"/>
      <c r="BZ25" s="43"/>
      <c r="CA25" s="43"/>
      <c r="CB25" s="43"/>
      <c r="CC25" s="43"/>
      <c r="CD25" s="43"/>
      <c r="CE25" s="43"/>
      <c r="CF25"/>
    </row>
    <row r="26" spans="1:84" ht="24.75" hidden="1" customHeight="1">
      <c r="A26" s="43"/>
      <c r="B26" s="43"/>
      <c r="C26" s="22"/>
      <c r="D26" s="705"/>
      <c r="E26" s="676" t="s">
        <v>613</v>
      </c>
      <c r="F26" s="676"/>
      <c r="G26" s="676"/>
      <c r="H26" s="676"/>
      <c r="I26" s="676"/>
      <c r="J26" s="676"/>
      <c r="K26" s="676"/>
      <c r="L26" s="676"/>
      <c r="M26" s="676"/>
      <c r="N26" s="676"/>
      <c r="O26" s="676"/>
      <c r="P26" s="676"/>
      <c r="Q26" s="177">
        <f>SUMIF(T27:T28,"i",Q27:Q28)</f>
        <v>0</v>
      </c>
      <c r="R26" s="339"/>
      <c r="S26" s="29" t="s">
        <v>614</v>
      </c>
      <c r="T26" s="89" t="s">
        <v>615</v>
      </c>
      <c r="U26" s="748">
        <v>1</v>
      </c>
      <c r="V26" s="748" t="s">
        <v>578</v>
      </c>
      <c r="W26" s="43"/>
      <c r="X26" s="43"/>
      <c r="Y26" s="43"/>
      <c r="Z26" s="43"/>
      <c r="AA26" s="46"/>
      <c r="AB26" s="43"/>
      <c r="AC26" s="732"/>
      <c r="AD26" s="43"/>
      <c r="AE26" s="43"/>
      <c r="AF26" s="43"/>
      <c r="AG26" s="46"/>
      <c r="AH26" s="46"/>
      <c r="AI26" s="46"/>
      <c r="AJ26" s="46"/>
      <c r="AK26" s="46"/>
      <c r="AL26" s="46"/>
      <c r="AM26" s="46"/>
      <c r="AN26" s="46"/>
      <c r="AO26" s="46"/>
      <c r="AP26" s="46"/>
      <c r="AQ26" s="46"/>
      <c r="AR26" s="46"/>
      <c r="AS26" s="46"/>
      <c r="AT26" s="46"/>
      <c r="AU26" s="46"/>
      <c r="AV26" s="46"/>
      <c r="AW26" s="46"/>
      <c r="AX26" s="46"/>
      <c r="AY26" s="46"/>
      <c r="AZ26" s="46"/>
      <c r="BA26" s="46"/>
      <c r="BB26" s="46"/>
      <c r="BC26" s="46"/>
      <c r="BD26" s="46"/>
      <c r="BE26" s="46"/>
      <c r="BF26" s="46"/>
      <c r="BG26" s="46"/>
      <c r="BH26" s="46"/>
      <c r="BI26" s="46"/>
      <c r="BJ26" s="46"/>
      <c r="BK26" s="46"/>
      <c r="BL26" s="46"/>
      <c r="BM26" s="46"/>
      <c r="BN26" s="46"/>
      <c r="BO26" s="46"/>
      <c r="BP26" s="46"/>
      <c r="BQ26" s="46"/>
      <c r="BR26" s="46"/>
      <c r="BS26" s="46"/>
      <c r="BT26" s="46"/>
      <c r="BU26" s="46"/>
      <c r="BV26" s="43"/>
      <c r="BW26" s="43"/>
      <c r="BX26" s="43"/>
      <c r="BY26" s="43"/>
      <c r="BZ26" s="43"/>
      <c r="CA26" s="43"/>
      <c r="CB26" s="43"/>
      <c r="CC26" s="43"/>
      <c r="CD26" s="43"/>
      <c r="CE26" s="43"/>
      <c r="CF26"/>
    </row>
    <row r="27" spans="1:84" ht="11.25" hidden="1" customHeight="1">
      <c r="A27" s="46"/>
      <c r="B27" s="46"/>
      <c r="C27" s="46"/>
      <c r="D27" s="705"/>
      <c r="E27" s="174"/>
      <c r="F27" s="174">
        <v>0</v>
      </c>
      <c r="G27" s="174"/>
      <c r="H27" s="174"/>
      <c r="I27" s="174"/>
      <c r="J27" s="174"/>
      <c r="K27" s="174"/>
      <c r="L27" s="174"/>
      <c r="M27" s="174"/>
      <c r="N27" s="174"/>
      <c r="O27" s="174"/>
      <c r="P27" s="174"/>
      <c r="Q27" s="174"/>
      <c r="R27" s="174"/>
      <c r="S27" s="174"/>
      <c r="T27" s="89"/>
      <c r="U27" s="748"/>
      <c r="V27" s="748"/>
      <c r="W27" s="46"/>
      <c r="X27" s="46"/>
      <c r="Y27" s="46"/>
      <c r="Z27" s="46"/>
      <c r="AA27" s="46"/>
      <c r="AB27" s="43"/>
      <c r="AC27" s="732"/>
      <c r="AD27" s="43"/>
      <c r="AE27" s="43"/>
      <c r="AF27" s="43"/>
      <c r="AG27" s="46"/>
      <c r="AH27" s="46"/>
      <c r="AI27" s="46"/>
      <c r="AJ27" s="46"/>
      <c r="AK27" s="46"/>
      <c r="AL27" s="46"/>
      <c r="AM27" s="46"/>
      <c r="AN27" s="46"/>
      <c r="AO27" s="46"/>
      <c r="AP27" s="46"/>
      <c r="AQ27" s="46"/>
      <c r="AR27" s="46"/>
      <c r="AS27" s="46"/>
      <c r="AT27" s="46"/>
      <c r="AU27" s="46"/>
      <c r="AV27" s="46"/>
      <c r="AW27" s="46"/>
      <c r="AX27" s="46"/>
      <c r="AY27" s="46"/>
      <c r="AZ27" s="46"/>
      <c r="BA27" s="46"/>
      <c r="BB27" s="46"/>
      <c r="BC27" s="46"/>
      <c r="BD27" s="46"/>
      <c r="BE27" s="46"/>
      <c r="BF27" s="46"/>
      <c r="BG27" s="46"/>
      <c r="BH27" s="46"/>
      <c r="BI27" s="46"/>
      <c r="BJ27" s="46"/>
      <c r="BK27" s="46"/>
      <c r="BL27" s="46"/>
      <c r="BM27" s="46"/>
      <c r="BN27" s="46"/>
      <c r="BO27" s="46"/>
      <c r="BP27" s="46"/>
      <c r="BQ27" s="46"/>
      <c r="BR27" s="46"/>
      <c r="BS27" s="46"/>
      <c r="BT27" s="46"/>
      <c r="BU27" s="46"/>
      <c r="BV27" s="46"/>
      <c r="BW27" s="46"/>
      <c r="BX27" s="46"/>
      <c r="BY27" s="46"/>
      <c r="BZ27" s="46"/>
      <c r="CA27" s="46"/>
      <c r="CB27" s="46"/>
      <c r="CC27" s="46"/>
      <c r="CD27" s="46"/>
      <c r="CE27" s="46"/>
      <c r="CF27"/>
    </row>
    <row r="28" spans="1:84" ht="11.25" hidden="1" customHeight="1">
      <c r="A28" s="43"/>
      <c r="B28" s="43"/>
      <c r="C28" s="22"/>
      <c r="D28" s="705"/>
      <c r="E28" s="98" t="s">
        <v>22</v>
      </c>
      <c r="F28" s="37" t="s">
        <v>22</v>
      </c>
      <c r="G28" s="37" t="s">
        <v>618</v>
      </c>
      <c r="H28" s="37" t="s">
        <v>22</v>
      </c>
      <c r="I28" s="37"/>
      <c r="J28" s="37"/>
      <c r="K28" s="37"/>
      <c r="L28" s="37"/>
      <c r="M28" s="37"/>
      <c r="N28" s="37"/>
      <c r="O28" s="37"/>
      <c r="P28" s="37"/>
      <c r="Q28" s="37"/>
      <c r="R28" s="26"/>
      <c r="S28" s="207"/>
      <c r="T28" s="89"/>
      <c r="U28" s="748"/>
      <c r="V28" s="748"/>
      <c r="W28" s="43"/>
      <c r="X28" s="43"/>
      <c r="Y28" s="43"/>
      <c r="Z28" s="43"/>
      <c r="AA28" s="46"/>
      <c r="AB28" s="43"/>
      <c r="AC28" s="732"/>
      <c r="AD28" s="43"/>
      <c r="AE28" s="43"/>
      <c r="AF28" s="43"/>
      <c r="AG28" s="46"/>
      <c r="AH28" s="46"/>
      <c r="AI28" s="46"/>
      <c r="AJ28" s="46"/>
      <c r="AK28" s="46"/>
      <c r="AL28" s="46"/>
      <c r="AM28" s="46"/>
      <c r="AN28" s="46"/>
      <c r="AO28" s="46"/>
      <c r="AP28" s="46"/>
      <c r="AQ28" s="46"/>
      <c r="AR28" s="46"/>
      <c r="AS28" s="46"/>
      <c r="AT28" s="46"/>
      <c r="AU28" s="46"/>
      <c r="AV28" s="46"/>
      <c r="AW28" s="46"/>
      <c r="AX28" s="46"/>
      <c r="AY28" s="46"/>
      <c r="AZ28" s="46"/>
      <c r="BA28" s="46"/>
      <c r="BB28" s="46"/>
      <c r="BC28" s="46"/>
      <c r="BD28" s="46"/>
      <c r="BE28" s="46"/>
      <c r="BF28" s="46"/>
      <c r="BG28" s="46"/>
      <c r="BH28" s="46"/>
      <c r="BI28" s="46"/>
      <c r="BJ28" s="46"/>
      <c r="BK28" s="46"/>
      <c r="BL28" s="46"/>
      <c r="BM28" s="46"/>
      <c r="BN28" s="46"/>
      <c r="BO28" s="46"/>
      <c r="BP28" s="46"/>
      <c r="BQ28" s="46"/>
      <c r="BR28" s="46"/>
      <c r="BS28" s="46"/>
      <c r="BT28" s="46"/>
      <c r="BU28" s="46"/>
      <c r="BV28" s="43"/>
      <c r="BW28" s="43"/>
      <c r="BX28" s="43"/>
      <c r="BY28" s="43"/>
      <c r="BZ28" s="43"/>
      <c r="CA28" s="43"/>
      <c r="CB28" s="43"/>
      <c r="CC28" s="43"/>
      <c r="CD28" s="43"/>
      <c r="CE28" s="43"/>
      <c r="CF28"/>
    </row>
    <row r="29" spans="1:84" ht="5.25" hidden="1" customHeight="1">
      <c r="A29" s="46"/>
      <c r="B29" s="46"/>
      <c r="C29" s="46"/>
      <c r="D29" s="705"/>
      <c r="E29" s="263"/>
      <c r="F29" s="263"/>
      <c r="G29" s="263"/>
      <c r="H29" s="263"/>
      <c r="I29" s="263"/>
      <c r="J29" s="263"/>
      <c r="K29" s="263"/>
      <c r="L29" s="263"/>
      <c r="M29" s="263"/>
      <c r="N29" s="263"/>
      <c r="O29" s="263"/>
      <c r="P29" s="263"/>
      <c r="Q29" s="111"/>
      <c r="R29" s="352"/>
      <c r="S29" s="174"/>
      <c r="T29" s="89" t="s">
        <v>615</v>
      </c>
      <c r="U29" s="748">
        <v>1</v>
      </c>
      <c r="V29" s="748" t="s">
        <v>578</v>
      </c>
      <c r="W29" s="46"/>
      <c r="X29" s="46"/>
      <c r="Y29" s="46"/>
      <c r="Z29" s="46"/>
      <c r="AA29" s="46"/>
      <c r="AB29" s="46"/>
      <c r="AC29" s="46"/>
      <c r="AD29" s="46"/>
      <c r="AE29" s="46"/>
      <c r="AF29" s="46"/>
      <c r="AG29" s="46"/>
      <c r="AH29" s="46"/>
      <c r="AI29" s="46"/>
      <c r="AJ29" s="46"/>
      <c r="AK29" s="46"/>
      <c r="AL29" s="46"/>
      <c r="AM29" s="46"/>
      <c r="AN29" s="46"/>
      <c r="AO29" s="46"/>
      <c r="AP29" s="46"/>
      <c r="AQ29" s="46"/>
      <c r="AR29" s="46"/>
      <c r="AS29" s="46"/>
      <c r="AT29" s="46"/>
      <c r="AU29" s="46"/>
      <c r="AV29" s="46"/>
      <c r="AW29" s="46"/>
      <c r="AX29" s="46"/>
      <c r="AY29" s="46"/>
      <c r="AZ29" s="46"/>
      <c r="BA29" s="46"/>
      <c r="BB29" s="46"/>
      <c r="BC29" s="46"/>
      <c r="BD29" s="46"/>
      <c r="BE29" s="46"/>
      <c r="BF29" s="46"/>
      <c r="BG29" s="46"/>
      <c r="BH29" s="46"/>
      <c r="BI29" s="46"/>
      <c r="BJ29" s="46"/>
      <c r="BK29" s="46"/>
      <c r="BL29" s="46"/>
      <c r="BM29" s="46"/>
      <c r="BN29" s="46"/>
      <c r="BO29" s="46"/>
      <c r="BP29" s="46"/>
      <c r="BQ29" s="46"/>
      <c r="BR29" s="46"/>
      <c r="BS29" s="46"/>
      <c r="BT29" s="46"/>
      <c r="BU29" s="46"/>
      <c r="BV29" s="46"/>
      <c r="BW29" s="46"/>
      <c r="BX29" s="46"/>
      <c r="BY29" s="46"/>
      <c r="BZ29" s="46"/>
      <c r="CA29" s="46"/>
      <c r="CB29" s="46"/>
      <c r="CC29" s="46"/>
      <c r="CD29" s="46"/>
      <c r="CE29" s="46"/>
      <c r="CF29" s="46"/>
    </row>
    <row r="30" spans="1:84" ht="5.25" hidden="1" customHeight="1">
      <c r="A30" s="46"/>
      <c r="B30" s="46"/>
      <c r="C30" s="46"/>
      <c r="D30" s="705"/>
      <c r="E30" s="174"/>
      <c r="F30" s="174"/>
      <c r="G30" s="174"/>
      <c r="H30" s="174"/>
      <c r="I30" s="174"/>
      <c r="J30" s="174"/>
      <c r="K30" s="174"/>
      <c r="L30" s="174"/>
      <c r="M30" s="174"/>
      <c r="N30" s="174"/>
      <c r="O30" s="174"/>
      <c r="P30" s="174"/>
      <c r="Q30" s="174"/>
      <c r="R30" s="174"/>
      <c r="S30" s="174"/>
      <c r="T30" s="89"/>
      <c r="U30" s="748"/>
      <c r="V30" s="748"/>
      <c r="W30" s="46"/>
      <c r="X30" s="46"/>
      <c r="Y30" s="46"/>
      <c r="Z30" s="46"/>
      <c r="AA30" s="46"/>
      <c r="AB30" s="46"/>
      <c r="AC30" s="46"/>
      <c r="AD30" s="46"/>
      <c r="AE30" s="46"/>
      <c r="AF30" s="46"/>
      <c r="AG30" s="46"/>
      <c r="AH30" s="46"/>
      <c r="AI30" s="46"/>
      <c r="AJ30" s="46"/>
      <c r="AK30" s="46"/>
      <c r="AL30" s="46"/>
      <c r="AM30" s="46"/>
      <c r="AN30" s="46"/>
      <c r="AO30" s="46"/>
      <c r="AP30" s="46"/>
      <c r="AQ30" s="46"/>
      <c r="AR30" s="46"/>
      <c r="AS30" s="46"/>
      <c r="AT30" s="46"/>
      <c r="AU30" s="46"/>
      <c r="AV30" s="46"/>
      <c r="AW30" s="46"/>
      <c r="AX30" s="46"/>
      <c r="AY30" s="46"/>
      <c r="AZ30" s="46"/>
      <c r="BA30" s="46"/>
      <c r="BB30" s="46"/>
      <c r="BC30" s="46"/>
      <c r="BD30" s="46"/>
      <c r="BE30" s="46"/>
      <c r="BF30" s="46"/>
      <c r="BG30" s="46"/>
      <c r="BH30" s="46"/>
      <c r="BI30" s="46"/>
      <c r="BJ30" s="46"/>
      <c r="BK30" s="46"/>
      <c r="BL30" s="46"/>
      <c r="BM30" s="46"/>
      <c r="BN30" s="46"/>
      <c r="BO30" s="46"/>
      <c r="BP30" s="46"/>
      <c r="BQ30" s="46"/>
      <c r="BR30" s="46"/>
      <c r="BS30" s="46"/>
      <c r="BT30" s="46"/>
      <c r="BU30" s="46"/>
      <c r="BV30" s="46"/>
      <c r="BW30" s="46"/>
      <c r="BX30" s="46"/>
      <c r="BY30" s="46"/>
      <c r="BZ30" s="46"/>
      <c r="CA30" s="46"/>
      <c r="CB30" s="46"/>
      <c r="CC30" s="46"/>
      <c r="CD30" s="46"/>
      <c r="CE30" s="46"/>
      <c r="CF30" s="46"/>
    </row>
    <row r="31" spans="1:84" ht="5.25" hidden="1" customHeight="1">
      <c r="A31" s="46"/>
      <c r="B31" s="46"/>
      <c r="C31" s="46"/>
      <c r="D31" s="676"/>
      <c r="E31" s="353"/>
      <c r="F31" s="354"/>
      <c r="G31" s="354"/>
      <c r="H31" s="354"/>
      <c r="I31" s="354"/>
      <c r="J31" s="354"/>
      <c r="K31" s="354"/>
      <c r="L31" s="354"/>
      <c r="M31" s="354"/>
      <c r="N31" s="354"/>
      <c r="O31" s="354"/>
      <c r="P31" s="354"/>
      <c r="Q31" s="354"/>
      <c r="R31" s="314"/>
      <c r="S31" s="174"/>
      <c r="T31" s="89"/>
      <c r="U31" s="748"/>
      <c r="V31" s="748"/>
      <c r="W31" s="46"/>
      <c r="X31" s="46"/>
      <c r="Y31" s="46"/>
      <c r="Z31" s="46"/>
      <c r="AA31" s="46"/>
      <c r="AB31" s="46"/>
      <c r="AC31" s="46"/>
      <c r="AD31" s="46"/>
      <c r="AE31" s="46"/>
      <c r="AF31" s="46"/>
      <c r="AG31" s="46"/>
      <c r="AH31" s="46"/>
      <c r="AI31" s="46"/>
      <c r="AJ31" s="46"/>
      <c r="AK31" s="46"/>
      <c r="AL31" s="46"/>
      <c r="AM31" s="46"/>
      <c r="AN31" s="46"/>
      <c r="AO31" s="46"/>
      <c r="AP31" s="46"/>
      <c r="AQ31" s="46"/>
      <c r="AR31" s="46"/>
      <c r="AS31" s="46"/>
      <c r="AT31" s="46"/>
      <c r="AU31" s="46"/>
      <c r="AV31" s="46"/>
      <c r="AW31" s="46"/>
      <c r="AX31" s="46"/>
      <c r="AY31" s="46"/>
      <c r="AZ31" s="46"/>
      <c r="BA31" s="46"/>
      <c r="BB31" s="46"/>
      <c r="BC31" s="46"/>
      <c r="BD31" s="46"/>
      <c r="BE31" s="46"/>
      <c r="BF31" s="46"/>
      <c r="BG31" s="46"/>
      <c r="BH31" s="46"/>
      <c r="BI31" s="46"/>
      <c r="BJ31" s="46"/>
      <c r="BK31" s="46"/>
      <c r="BL31" s="46"/>
      <c r="BM31" s="46"/>
      <c r="BN31" s="46"/>
      <c r="BO31" s="46"/>
      <c r="BP31" s="46"/>
      <c r="BQ31" s="46"/>
      <c r="BR31" s="46"/>
      <c r="BS31" s="46"/>
      <c r="BT31" s="46"/>
      <c r="BU31" s="46"/>
      <c r="BV31" s="46"/>
      <c r="BW31" s="46"/>
      <c r="BX31" s="46"/>
      <c r="BY31" s="46"/>
      <c r="BZ31" s="46"/>
      <c r="CA31" s="46"/>
      <c r="CB31" s="46"/>
      <c r="CC31" s="46"/>
      <c r="CD31" s="46"/>
      <c r="CE31" s="46"/>
      <c r="CF31" s="46"/>
    </row>
    <row r="32" spans="1:84" ht="19.899999999999999" customHeight="1">
      <c r="D32" s="355"/>
      <c r="E32" s="355"/>
      <c r="F32" s="355"/>
      <c r="G32" s="355"/>
      <c r="H32" s="355"/>
      <c r="I32" s="355"/>
      <c r="J32" s="355"/>
      <c r="K32" s="355"/>
      <c r="L32" s="355"/>
      <c r="M32" s="355"/>
      <c r="N32" s="355"/>
      <c r="O32" s="355"/>
      <c r="P32" s="355"/>
      <c r="Q32" s="355"/>
      <c r="R32" s="355"/>
      <c r="S32" s="355"/>
      <c r="T32" s="115"/>
      <c r="CF32" s="4">
        <v>19</v>
      </c>
    </row>
    <row r="33" spans="1:84" ht="11.45" customHeight="1">
      <c r="CF33" s="4">
        <v>11</v>
      </c>
    </row>
    <row r="34" spans="1:84" ht="11.45" customHeight="1">
      <c r="G34" s="22"/>
      <c r="CF34" s="4">
        <v>11</v>
      </c>
    </row>
    <row r="35" spans="1:84" ht="11.45" customHeight="1">
      <c r="CF35" s="4">
        <v>11</v>
      </c>
    </row>
    <row r="36" spans="1:84" ht="11.45" customHeight="1">
      <c r="D36" s="39"/>
      <c r="E36" s="720"/>
      <c r="F36" s="720"/>
      <c r="G36" s="720"/>
      <c r="H36" s="720"/>
      <c r="I36" s="720"/>
      <c r="J36" s="720"/>
      <c r="K36" s="720"/>
      <c r="L36" s="720"/>
      <c r="M36" s="720"/>
      <c r="N36" s="720"/>
      <c r="O36" s="720"/>
      <c r="P36" s="720"/>
      <c r="Q36" s="720"/>
      <c r="R36" s="720"/>
      <c r="CF36" s="4">
        <v>11</v>
      </c>
    </row>
    <row r="37" spans="1:84" ht="11.45" customHeight="1">
      <c r="CF37" s="4">
        <v>11</v>
      </c>
    </row>
    <row r="38" spans="1:84" ht="11.25" hidden="1" customHeight="1">
      <c r="A38" s="21" t="s">
        <v>82</v>
      </c>
      <c r="B38" s="7">
        <v>0</v>
      </c>
      <c r="C38" s="4">
        <v>3</v>
      </c>
      <c r="D38" s="4">
        <v>0</v>
      </c>
      <c r="E38" s="4">
        <v>7</v>
      </c>
      <c r="F38" s="4">
        <v>7</v>
      </c>
      <c r="G38" s="4">
        <v>29</v>
      </c>
      <c r="H38" s="4">
        <v>3</v>
      </c>
      <c r="I38" s="4">
        <v>5</v>
      </c>
      <c r="J38" s="4">
        <v>24</v>
      </c>
      <c r="K38" s="4">
        <v>24</v>
      </c>
      <c r="L38" s="4">
        <v>3</v>
      </c>
      <c r="M38" s="4">
        <v>6</v>
      </c>
      <c r="N38" s="4">
        <v>25</v>
      </c>
      <c r="O38" s="4">
        <v>18</v>
      </c>
      <c r="P38" s="4">
        <v>18</v>
      </c>
      <c r="Q38" s="4">
        <v>18</v>
      </c>
      <c r="R38" s="4">
        <v>18</v>
      </c>
      <c r="S38" s="4">
        <v>93</v>
      </c>
      <c r="T38" s="4">
        <v>10</v>
      </c>
      <c r="U38" s="46">
        <v>10</v>
      </c>
      <c r="V38" s="46">
        <v>11</v>
      </c>
      <c r="W38" s="7">
        <v>10</v>
      </c>
      <c r="X38" s="7">
        <v>10</v>
      </c>
      <c r="Y38" s="7">
        <v>10</v>
      </c>
      <c r="Z38" s="7">
        <v>10</v>
      </c>
      <c r="AA38" s="7">
        <v>10</v>
      </c>
      <c r="AB38" s="4">
        <v>8</v>
      </c>
      <c r="AC38" s="4">
        <v>8</v>
      </c>
      <c r="AD38" s="4">
        <v>8</v>
      </c>
      <c r="AE38" s="4">
        <v>8</v>
      </c>
      <c r="AF38" s="4">
        <v>8</v>
      </c>
      <c r="AG38" s="4">
        <v>8</v>
      </c>
      <c r="AH38" s="4">
        <v>8</v>
      </c>
      <c r="AI38" s="4">
        <v>8</v>
      </c>
      <c r="AJ38" s="4">
        <v>8</v>
      </c>
      <c r="AK38" s="4">
        <v>8</v>
      </c>
      <c r="AL38" s="4">
        <v>8</v>
      </c>
      <c r="AM38" s="4">
        <v>8</v>
      </c>
      <c r="AN38" s="4">
        <v>8</v>
      </c>
      <c r="AO38" s="4">
        <v>8</v>
      </c>
      <c r="AP38" s="4">
        <v>8</v>
      </c>
      <c r="AQ38" s="4">
        <v>8</v>
      </c>
      <c r="AR38" s="4">
        <v>8</v>
      </c>
      <c r="AS38" s="4">
        <v>8</v>
      </c>
      <c r="AT38" s="4">
        <v>8</v>
      </c>
      <c r="AU38" s="4">
        <v>8</v>
      </c>
      <c r="AV38" s="4">
        <v>8</v>
      </c>
      <c r="AW38" s="4">
        <v>8</v>
      </c>
      <c r="AX38" s="4">
        <v>8</v>
      </c>
      <c r="AY38" s="4">
        <v>8</v>
      </c>
      <c r="AZ38" s="4">
        <v>8</v>
      </c>
      <c r="BA38" s="4">
        <v>8</v>
      </c>
      <c r="BB38" s="4">
        <v>8</v>
      </c>
      <c r="BC38" s="4">
        <v>8</v>
      </c>
      <c r="BD38" s="4">
        <v>8</v>
      </c>
      <c r="BE38" s="4">
        <v>8</v>
      </c>
      <c r="BF38" s="4">
        <v>8</v>
      </c>
      <c r="BG38" s="4">
        <v>8</v>
      </c>
      <c r="BH38" s="4">
        <v>8</v>
      </c>
      <c r="BI38" s="4">
        <v>8</v>
      </c>
      <c r="BJ38" s="4">
        <v>8</v>
      </c>
      <c r="BK38" s="4">
        <v>8</v>
      </c>
      <c r="BL38" s="4">
        <v>8</v>
      </c>
      <c r="BM38" s="4">
        <v>8</v>
      </c>
      <c r="BN38" s="4">
        <v>8</v>
      </c>
      <c r="BO38" s="4">
        <v>8</v>
      </c>
      <c r="BP38" s="4">
        <v>8</v>
      </c>
      <c r="BQ38" s="4">
        <v>8</v>
      </c>
      <c r="BR38" s="4">
        <v>8</v>
      </c>
      <c r="BS38" s="4">
        <v>8</v>
      </c>
      <c r="BT38" s="4">
        <v>8</v>
      </c>
      <c r="BU38" s="4">
        <v>8</v>
      </c>
      <c r="BV38" s="4">
        <v>8</v>
      </c>
      <c r="BW38" s="4">
        <v>8</v>
      </c>
      <c r="BX38" s="4">
        <v>8</v>
      </c>
      <c r="BY38" s="4">
        <v>8</v>
      </c>
      <c r="BZ38" s="4">
        <v>8</v>
      </c>
      <c r="CA38" s="4">
        <v>8</v>
      </c>
      <c r="CB38" s="4">
        <v>8</v>
      </c>
      <c r="CC38" s="4">
        <v>8</v>
      </c>
      <c r="CD38" s="4">
        <v>8</v>
      </c>
      <c r="CE38" s="4">
        <v>8</v>
      </c>
      <c r="CF38" s="4">
        <v>11</v>
      </c>
    </row>
  </sheetData>
  <sheetProtection formatColumns="0" formatRows="0" insertRows="0" deleteColumns="0" deleteRows="0" sort="0" autoFilter="0"/>
  <mergeCells count="35">
    <mergeCell ref="AC23:AC28"/>
    <mergeCell ref="E24:G24"/>
    <mergeCell ref="H24:R24"/>
    <mergeCell ref="E25:G25"/>
    <mergeCell ref="H25:R25"/>
    <mergeCell ref="E26:P26"/>
    <mergeCell ref="U29:U31"/>
    <mergeCell ref="V29:V31"/>
    <mergeCell ref="U26:U28"/>
    <mergeCell ref="V26:V28"/>
    <mergeCell ref="D23:D31"/>
    <mergeCell ref="E23:G23"/>
    <mergeCell ref="H23:R23"/>
    <mergeCell ref="U20:U22"/>
    <mergeCell ref="V20:V22"/>
    <mergeCell ref="AC14:AC19"/>
    <mergeCell ref="E17:P17"/>
    <mergeCell ref="U17:U19"/>
    <mergeCell ref="V17:V19"/>
    <mergeCell ref="E14:G14"/>
    <mergeCell ref="E15:G15"/>
    <mergeCell ref="E16:G16"/>
    <mergeCell ref="D14:D22"/>
    <mergeCell ref="H14:R14"/>
    <mergeCell ref="H15:R15"/>
    <mergeCell ref="H16:R16"/>
    <mergeCell ref="E36:R36"/>
    <mergeCell ref="E20:P20"/>
    <mergeCell ref="E5:K5"/>
    <mergeCell ref="E6:K6"/>
    <mergeCell ref="E9:R9"/>
    <mergeCell ref="S9:S10"/>
    <mergeCell ref="E10:F10"/>
    <mergeCell ref="H10:I10"/>
    <mergeCell ref="L10:M10"/>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33688A-4ADC-4435-717C-84909D39D389}">
  <sheetPr>
    <tabColor theme="9" tint="-0.249977111117893"/>
  </sheetPr>
  <dimension ref="A1:AL204"/>
  <sheetViews>
    <sheetView showGridLines="0" zoomScale="90" workbookViewId="0">
      <pane xSplit="12" ySplit="14" topLeftCell="N15" activePane="bottomRight" state="frozen"/>
      <selection pane="topRight" activeCell="M1" sqref="M1"/>
      <selection pane="bottomLeft" activeCell="A15" sqref="A15"/>
      <selection pane="bottomRight" activeCell="N9" sqref="N9"/>
    </sheetView>
  </sheetViews>
  <sheetFormatPr defaultColWidth="9.140625" defaultRowHeight="11.25" customHeight="1"/>
  <cols>
    <col min="1" max="5" width="10.7109375" style="330" hidden="1" customWidth="1"/>
    <col min="6" max="6" width="16.85546875" style="43" hidden="1" customWidth="1"/>
    <col min="7" max="7" width="5.5703125" style="46" hidden="1" customWidth="1"/>
    <col min="8" max="8" width="3" style="4" customWidth="1"/>
    <col min="9" max="9" width="7" style="4" customWidth="1"/>
    <col min="10" max="10" width="56" style="4" customWidth="1"/>
    <col min="11" max="11" width="10" style="4" customWidth="1"/>
    <col min="12" max="12" width="40.5703125" style="4" hidden="1" customWidth="1"/>
    <col min="13" max="13" width="40.7109375" style="4" customWidth="1"/>
    <col min="14" max="14" width="40.5703125" style="4" customWidth="1"/>
    <col min="15" max="15" width="9.7109375" style="43" hidden="1" customWidth="1"/>
    <col min="16" max="16" width="102" style="4" customWidth="1"/>
    <col min="17" max="17" width="9" style="43" customWidth="1"/>
    <col min="18" max="18" width="5" style="46" customWidth="1"/>
    <col min="19" max="19" width="3" style="46" customWidth="1"/>
    <col min="20" max="23" width="3" style="43" customWidth="1"/>
    <col min="24" max="24" width="10" style="46" customWidth="1"/>
    <col min="25" max="25" width="34" style="43" customWidth="1"/>
    <col min="26" max="26" width="9" style="43" customWidth="1"/>
    <col min="27" max="27" width="8" style="77" customWidth="1"/>
    <col min="28" max="32" width="8" style="43" customWidth="1"/>
    <col min="33" max="37" width="8" style="7" customWidth="1"/>
    <col min="38" max="38" width="5.42578125" style="4" hidden="1" customWidth="1"/>
  </cols>
  <sheetData>
    <row r="1" spans="1:38" s="43" customFormat="1" ht="33.75" hidden="1" customHeight="1">
      <c r="A1" s="330"/>
      <c r="B1" s="330"/>
      <c r="C1" s="330"/>
      <c r="D1" s="330"/>
      <c r="E1" s="330"/>
      <c r="G1" s="46"/>
      <c r="L1" s="43">
        <v>4</v>
      </c>
      <c r="M1" s="43">
        <v>4</v>
      </c>
      <c r="N1" s="43">
        <v>4</v>
      </c>
      <c r="R1" s="46"/>
      <c r="S1" s="46"/>
      <c r="X1" s="46"/>
      <c r="AL1" s="43" t="s">
        <v>14</v>
      </c>
    </row>
    <row r="2" spans="1:38" s="43" customFormat="1" ht="78.75" hidden="1" customHeight="1">
      <c r="A2" s="330"/>
      <c r="B2" s="633" t="s">
        <v>619</v>
      </c>
      <c r="C2" s="633" t="s">
        <v>620</v>
      </c>
      <c r="D2" s="632" t="s">
        <v>621</v>
      </c>
      <c r="E2" s="634" t="e">
        <f>RIGHT(I2,LEN(I2)-SEARCH("#",SUBSTITUTE(I2,".","#",LEN(I2)-LEN(SUBSTITUTE(I2,".","")))))</f>
        <v>#VALUE!</v>
      </c>
      <c r="F2" s="634">
        <f>J2</f>
        <v>0</v>
      </c>
      <c r="G2" s="46"/>
      <c r="H2" s="192"/>
      <c r="I2" s="31"/>
      <c r="J2" s="74"/>
      <c r="K2" s="169" t="s">
        <v>559</v>
      </c>
      <c r="L2" s="168"/>
      <c r="M2" s="168"/>
      <c r="N2" s="168"/>
      <c r="O2" s="170"/>
      <c r="P2" s="29" t="s">
        <v>560</v>
      </c>
      <c r="Q2" s="170"/>
      <c r="R2" s="46"/>
      <c r="S2" s="46"/>
      <c r="X2" s="46"/>
      <c r="AA2" s="77"/>
      <c r="AG2" s="7"/>
      <c r="AH2" s="7"/>
      <c r="AI2" s="7"/>
      <c r="AJ2" s="7"/>
      <c r="AK2" s="7"/>
      <c r="AL2" s="43">
        <v>0</v>
      </c>
    </row>
    <row r="3" spans="1:38" ht="11.25" hidden="1" customHeight="1">
      <c r="E3" s="631" t="s">
        <v>622</v>
      </c>
      <c r="L3" s="4">
        <f>0</f>
        <v>0</v>
      </c>
      <c r="M3" s="4">
        <v>1</v>
      </c>
      <c r="N3" s="4">
        <f>0</f>
        <v>0</v>
      </c>
      <c r="AL3" s="4">
        <v>0</v>
      </c>
    </row>
    <row r="4" spans="1:38" s="7" customFormat="1" ht="11.25" hidden="1" customHeight="1">
      <c r="A4" s="330"/>
      <c r="B4" s="330"/>
      <c r="C4" s="330"/>
      <c r="E4" s="330"/>
      <c r="F4" s="43"/>
      <c r="G4" s="46"/>
      <c r="O4" s="43"/>
      <c r="P4" s="7">
        <v>4</v>
      </c>
      <c r="Q4" s="43"/>
      <c r="R4" s="46"/>
      <c r="S4" s="46"/>
      <c r="T4" s="43"/>
      <c r="U4" s="43"/>
      <c r="V4" s="43"/>
      <c r="W4" s="43"/>
      <c r="X4" s="46"/>
      <c r="Y4" s="43"/>
      <c r="Z4" s="43"/>
      <c r="AA4" s="77"/>
      <c r="AB4" s="43"/>
      <c r="AC4" s="43"/>
      <c r="AD4" s="43"/>
      <c r="AE4" s="43"/>
      <c r="AF4" s="43"/>
      <c r="AL4" s="7">
        <v>0</v>
      </c>
    </row>
    <row r="5" spans="1:38" ht="11.45" customHeight="1">
      <c r="AL5" s="4">
        <v>11</v>
      </c>
    </row>
    <row r="6" spans="1:38" ht="57.75" customHeight="1">
      <c r="I6" s="697" t="s">
        <v>623</v>
      </c>
      <c r="J6" s="697"/>
      <c r="K6" s="697"/>
      <c r="L6" s="697"/>
      <c r="M6" s="697"/>
      <c r="N6" s="128"/>
      <c r="P6" s="40"/>
      <c r="AL6" s="4">
        <v>55</v>
      </c>
    </row>
    <row r="7" spans="1:38" ht="25.15" customHeight="1">
      <c r="I7" s="712" t="str">
        <f>IF(org=0,"Не определено",org)</f>
        <v>ООО "Восточная Тепловая компания"</v>
      </c>
      <c r="J7" s="712"/>
      <c r="K7" s="712"/>
      <c r="L7" s="712"/>
      <c r="M7" s="712"/>
      <c r="N7" s="358"/>
      <c r="AL7" s="4">
        <v>24</v>
      </c>
    </row>
    <row r="8" spans="1:38" ht="11.45" customHeight="1">
      <c r="N8" s="4" t="s">
        <v>22</v>
      </c>
      <c r="AL8" s="4">
        <v>11</v>
      </c>
    </row>
    <row r="9" spans="1:38" s="46" customFormat="1" ht="30" hidden="1" customHeight="1">
      <c r="A9" s="160"/>
      <c r="B9" s="160"/>
      <c r="C9" s="160"/>
      <c r="E9" s="160"/>
      <c r="L9" s="297"/>
      <c r="M9" s="297" t="s">
        <v>118</v>
      </c>
      <c r="N9" s="297" t="s">
        <v>124</v>
      </c>
      <c r="AL9" s="46">
        <v>1</v>
      </c>
    </row>
    <row r="10" spans="1:38" ht="11.45" customHeight="1">
      <c r="E10" s="630" t="s">
        <v>624</v>
      </c>
      <c r="I10" s="217"/>
      <c r="J10" s="666" t="s">
        <v>106</v>
      </c>
      <c r="K10" s="661"/>
      <c r="L10" s="270" t="str">
        <f>IF(L9="","",INDEX(DIFFERENTIATION_UNMERGE_VD,MATCH(L9,DIFFERENTIATION_ID_DIFF,0)))</f>
        <v/>
      </c>
      <c r="M10" s="270" t="str">
        <f>IF(M9="","",INDEX(DIFFERENTIATION_UNMERGE_VD,MATCH(M9,DIFFERENTIATION_ID_DIFF,0)))</f>
        <v>Производство тепловой энергии. Некомбинированная выработка; Передача. Тепловая энергия; Сбыт. Тепловая энергия</v>
      </c>
      <c r="N10" s="270" t="str">
        <f>IF(N9="","",INDEX(DIFFERENTIATION_UNMERGE_VD,MATCH(N9,DIFFERENTIATION_ID_DIFF,0)))</f>
        <v>Производство. Теплоноситель; Передача. Теплоноситель; Сбыт. Теплоноситель</v>
      </c>
      <c r="P10" s="679" t="s">
        <v>304</v>
      </c>
      <c r="AL10" s="4">
        <v>11</v>
      </c>
    </row>
    <row r="11" spans="1:38" ht="11.45" customHeight="1">
      <c r="E11" s="630" t="s">
        <v>625</v>
      </c>
      <c r="I11" s="217"/>
      <c r="J11" s="666" t="s">
        <v>567</v>
      </c>
      <c r="K11" s="661"/>
      <c r="L11" s="270" t="str">
        <f>IF(L9="","",INDEX(DIFFERENTIATION_UNMERGE_AREA,MATCH(L9,DIFFERENTIATION_ID_DIFF,0)))</f>
        <v/>
      </c>
      <c r="M11" s="270" t="str">
        <f>IF(M9="","",INDEX(DIFFERENTIATION_UNMERGE_AREA,MATCH(M9,DIFFERENTIATION_ID_DIFF,0)))</f>
        <v>Территория 1</v>
      </c>
      <c r="N11" s="270" t="str">
        <f>IF(N9="","",INDEX(DIFFERENTIATION_UNMERGE_AREA,MATCH(N9,DIFFERENTIATION_ID_DIFF,0)))</f>
        <v/>
      </c>
      <c r="P11" s="679"/>
      <c r="AL11" s="4">
        <v>11</v>
      </c>
    </row>
    <row r="12" spans="1:38" ht="11.45" customHeight="1">
      <c r="E12" s="630" t="s">
        <v>626</v>
      </c>
      <c r="I12" s="472"/>
      <c r="J12" s="666" t="s">
        <v>568</v>
      </c>
      <c r="K12" s="661"/>
      <c r="L12" s="270" t="str">
        <f>IF(L9="","",INDEX(DIFFERENTIATION_UNMERGE_SYSTEM,MATCH(L9,DIFFERENTIATION_ID_DIFF,0)))</f>
        <v/>
      </c>
      <c r="M12" s="270" t="str">
        <f>IF(M9="","",INDEX(DIFFERENTIATION_UNMERGE_SYSTEM,MATCH(M9,DIFFERENTIATION_ID_DIFF,0)))</f>
        <v>д. Кисловка</v>
      </c>
      <c r="N12" s="270" t="str">
        <f>IF(N9="","",INDEX(DIFFERENTIATION_UNMERGE_SYSTEM,MATCH(N9,DIFFERENTIATION_ID_DIFF,0)))</f>
        <v>д. Кисловка</v>
      </c>
      <c r="P12" s="679"/>
      <c r="AL12" s="4">
        <v>11</v>
      </c>
    </row>
    <row r="13" spans="1:38" ht="11.45" customHeight="1">
      <c r="E13" s="630" t="s">
        <v>627</v>
      </c>
      <c r="F13" s="630" t="s">
        <v>628</v>
      </c>
      <c r="I13" s="662" t="s">
        <v>303</v>
      </c>
      <c r="J13" s="666"/>
      <c r="K13" s="666"/>
      <c r="L13" s="223"/>
      <c r="M13" s="128"/>
      <c r="N13" s="223"/>
      <c r="P13" s="679"/>
      <c r="AL13" s="4">
        <v>11</v>
      </c>
    </row>
    <row r="14" spans="1:38" ht="24" customHeight="1">
      <c r="I14" s="29" t="s">
        <v>88</v>
      </c>
      <c r="J14" s="29" t="s">
        <v>305</v>
      </c>
      <c r="K14" s="29" t="s">
        <v>569</v>
      </c>
      <c r="L14" s="217" t="s">
        <v>306</v>
      </c>
      <c r="M14" s="29" t="s">
        <v>306</v>
      </c>
      <c r="N14" s="217" t="s">
        <v>306</v>
      </c>
      <c r="P14" s="679"/>
      <c r="AL14" s="4">
        <v>23</v>
      </c>
    </row>
    <row r="15" spans="1:38" ht="24" customHeight="1">
      <c r="A15" s="255"/>
      <c r="B15" s="633" t="s">
        <v>629</v>
      </c>
      <c r="C15" s="633" t="s">
        <v>630</v>
      </c>
      <c r="D15" s="632" t="s">
        <v>631</v>
      </c>
      <c r="E15" s="634" t="s">
        <v>632</v>
      </c>
      <c r="F15" s="634" t="s">
        <v>632</v>
      </c>
      <c r="G15" s="46" t="s">
        <v>591</v>
      </c>
      <c r="H15" s="23"/>
      <c r="I15" s="514">
        <v>1</v>
      </c>
      <c r="J15" s="29" t="s">
        <v>633</v>
      </c>
      <c r="K15" s="29" t="s">
        <v>309</v>
      </c>
      <c r="L15" s="208"/>
      <c r="M15" s="131"/>
      <c r="N15" s="208"/>
      <c r="O15" s="170" t="s">
        <v>634</v>
      </c>
      <c r="P15" s="29" t="s">
        <v>635</v>
      </c>
      <c r="Q15" s="170" t="s">
        <v>634</v>
      </c>
      <c r="AL15" s="4">
        <v>23</v>
      </c>
    </row>
    <row r="16" spans="1:38" ht="35.65" customHeight="1">
      <c r="A16" s="255"/>
      <c r="B16" s="633" t="s">
        <v>636</v>
      </c>
      <c r="C16" s="633" t="s">
        <v>637</v>
      </c>
      <c r="D16" s="632" t="s">
        <v>621</v>
      </c>
      <c r="E16" s="634" t="s">
        <v>632</v>
      </c>
      <c r="F16" s="634" t="s">
        <v>632</v>
      </c>
      <c r="H16" s="23"/>
      <c r="I16" s="513">
        <v>2</v>
      </c>
      <c r="J16" s="100" t="s">
        <v>638</v>
      </c>
      <c r="K16" s="100" t="s">
        <v>559</v>
      </c>
      <c r="L16" s="635"/>
      <c r="M16" s="517"/>
      <c r="N16" s="635"/>
      <c r="O16" s="170" t="s">
        <v>634</v>
      </c>
      <c r="P16" s="29" t="s">
        <v>639</v>
      </c>
      <c r="Q16" s="170" t="s">
        <v>634</v>
      </c>
      <c r="AL16" s="4">
        <v>34</v>
      </c>
    </row>
    <row r="17" spans="1:38" s="46" customFormat="1" ht="17.25" hidden="1" customHeight="1">
      <c r="A17" s="160"/>
      <c r="B17" s="160"/>
      <c r="C17" s="160"/>
      <c r="D17" s="160"/>
      <c r="E17" s="160"/>
      <c r="H17" s="160"/>
      <c r="I17" s="174" t="s">
        <v>640</v>
      </c>
      <c r="J17" s="174"/>
      <c r="K17" s="174"/>
      <c r="L17" s="332"/>
      <c r="M17" s="332"/>
      <c r="N17" s="332"/>
      <c r="P17" s="174"/>
      <c r="AL17" s="46">
        <v>1</v>
      </c>
    </row>
    <row r="18" spans="1:38" s="43" customFormat="1" ht="24" customHeight="1">
      <c r="A18" s="330"/>
      <c r="B18" s="330"/>
      <c r="C18" s="330"/>
      <c r="D18" s="330"/>
      <c r="E18" s="330"/>
      <c r="G18" s="46"/>
      <c r="H18" s="16"/>
      <c r="I18" s="184"/>
      <c r="J18" s="37" t="s">
        <v>589</v>
      </c>
      <c r="K18" s="185"/>
      <c r="L18" s="636"/>
      <c r="M18" s="186"/>
      <c r="N18" s="636"/>
      <c r="O18" s="170"/>
      <c r="P18" s="29" t="s">
        <v>590</v>
      </c>
      <c r="Q18" s="170"/>
      <c r="R18" s="46"/>
      <c r="S18" s="46"/>
      <c r="X18" s="46"/>
      <c r="AA18" s="77"/>
      <c r="AG18" s="7"/>
      <c r="AH18" s="7"/>
      <c r="AI18" s="7"/>
      <c r="AJ18" s="7"/>
      <c r="AK18" s="7"/>
      <c r="AL18" s="43">
        <v>23</v>
      </c>
    </row>
    <row r="19" spans="1:38" ht="19.899999999999999" customHeight="1">
      <c r="A19" s="255"/>
      <c r="B19" s="633" t="s">
        <v>641</v>
      </c>
      <c r="C19" s="633" t="s">
        <v>642</v>
      </c>
      <c r="D19" s="632" t="s">
        <v>621</v>
      </c>
      <c r="E19" s="634" t="s">
        <v>632</v>
      </c>
      <c r="F19" s="634" t="s">
        <v>632</v>
      </c>
      <c r="H19" s="23"/>
      <c r="I19" s="515">
        <v>3</v>
      </c>
      <c r="J19" s="29" t="s">
        <v>642</v>
      </c>
      <c r="K19" s="223" t="s">
        <v>559</v>
      </c>
      <c r="L19" s="238"/>
      <c r="M19" s="176"/>
      <c r="N19" s="238"/>
      <c r="O19" s="170"/>
      <c r="P19" s="29" t="s">
        <v>643</v>
      </c>
      <c r="Q19" s="170"/>
      <c r="AL19" s="4">
        <v>19</v>
      </c>
    </row>
    <row r="20" spans="1:38" ht="77.650000000000006" customHeight="1">
      <c r="A20" s="255"/>
      <c r="B20" s="633" t="s">
        <v>644</v>
      </c>
      <c r="C20" s="633" t="s">
        <v>645</v>
      </c>
      <c r="D20" s="632" t="s">
        <v>621</v>
      </c>
      <c r="E20" s="634" t="s">
        <v>632</v>
      </c>
      <c r="F20" s="634" t="s">
        <v>632</v>
      </c>
      <c r="H20" s="23"/>
      <c r="I20" s="515">
        <v>4</v>
      </c>
      <c r="J20" s="29" t="s">
        <v>646</v>
      </c>
      <c r="K20" s="223" t="s">
        <v>586</v>
      </c>
      <c r="L20" s="238"/>
      <c r="M20" s="176"/>
      <c r="N20" s="238"/>
      <c r="O20" s="170"/>
      <c r="P20" s="29"/>
      <c r="Q20" s="170"/>
      <c r="AL20" s="4">
        <v>74</v>
      </c>
    </row>
    <row r="21" spans="1:38" ht="35.65" customHeight="1">
      <c r="A21" s="255"/>
      <c r="B21" s="633" t="s">
        <v>647</v>
      </c>
      <c r="C21" s="633" t="s">
        <v>648</v>
      </c>
      <c r="D21" s="632" t="s">
        <v>621</v>
      </c>
      <c r="E21" s="634" t="s">
        <v>632</v>
      </c>
      <c r="F21" s="634" t="s">
        <v>632</v>
      </c>
      <c r="H21" s="23"/>
      <c r="I21" s="515">
        <v>5</v>
      </c>
      <c r="J21" s="29" t="s">
        <v>649</v>
      </c>
      <c r="K21" s="223" t="s">
        <v>586</v>
      </c>
      <c r="L21" s="238"/>
      <c r="M21" s="176"/>
      <c r="N21" s="238"/>
      <c r="O21" s="170"/>
      <c r="P21" s="29" t="s">
        <v>643</v>
      </c>
      <c r="Q21" s="170"/>
      <c r="AL21" s="4">
        <v>34</v>
      </c>
    </row>
    <row r="22" spans="1:38" ht="48.2" customHeight="1">
      <c r="A22" s="255"/>
      <c r="B22" s="633" t="s">
        <v>650</v>
      </c>
      <c r="C22" s="633" t="s">
        <v>651</v>
      </c>
      <c r="D22" s="632" t="s">
        <v>621</v>
      </c>
      <c r="E22" s="634" t="s">
        <v>632</v>
      </c>
      <c r="F22" s="634" t="s">
        <v>632</v>
      </c>
      <c r="H22" s="23"/>
      <c r="I22" s="515">
        <v>6</v>
      </c>
      <c r="J22" s="29" t="s">
        <v>652</v>
      </c>
      <c r="K22" s="223" t="s">
        <v>586</v>
      </c>
      <c r="L22" s="238"/>
      <c r="M22" s="176"/>
      <c r="N22" s="238"/>
      <c r="O22" s="170"/>
      <c r="P22" s="29" t="s">
        <v>653</v>
      </c>
      <c r="Q22" s="170"/>
      <c r="AL22" s="4">
        <v>46</v>
      </c>
    </row>
    <row r="23" spans="1:38" ht="19.899999999999999" customHeight="1">
      <c r="A23" s="255"/>
      <c r="B23" s="633" t="s">
        <v>654</v>
      </c>
      <c r="C23" s="633" t="s">
        <v>655</v>
      </c>
      <c r="D23" s="632" t="s">
        <v>621</v>
      </c>
      <c r="E23" s="634" t="s">
        <v>632</v>
      </c>
      <c r="F23" s="634" t="s">
        <v>632</v>
      </c>
      <c r="H23" s="23"/>
      <c r="I23" s="515" t="s">
        <v>656</v>
      </c>
      <c r="J23" s="29" t="s">
        <v>657</v>
      </c>
      <c r="K23" s="223" t="s">
        <v>586</v>
      </c>
      <c r="L23" s="238"/>
      <c r="M23" s="176"/>
      <c r="N23" s="238"/>
      <c r="O23" s="170"/>
      <c r="P23" s="29" t="s">
        <v>643</v>
      </c>
      <c r="Q23" s="170"/>
      <c r="AL23" s="4">
        <v>19</v>
      </c>
    </row>
    <row r="24" spans="1:38" ht="19.899999999999999" customHeight="1">
      <c r="A24" s="255"/>
      <c r="B24" s="633" t="s">
        <v>658</v>
      </c>
      <c r="C24" s="633" t="s">
        <v>659</v>
      </c>
      <c r="D24" s="632" t="s">
        <v>621</v>
      </c>
      <c r="E24" s="634" t="s">
        <v>632</v>
      </c>
      <c r="F24" s="634" t="s">
        <v>632</v>
      </c>
      <c r="H24" s="23"/>
      <c r="I24" s="515" t="s">
        <v>660</v>
      </c>
      <c r="J24" s="29" t="s">
        <v>661</v>
      </c>
      <c r="K24" s="223" t="s">
        <v>586</v>
      </c>
      <c r="L24" s="238"/>
      <c r="M24" s="176"/>
      <c r="N24" s="238"/>
      <c r="O24" s="170"/>
      <c r="P24" s="29"/>
      <c r="Q24" s="170"/>
      <c r="AL24" s="4">
        <v>19</v>
      </c>
    </row>
    <row r="25" spans="1:38" ht="24" customHeight="1">
      <c r="A25" s="255"/>
      <c r="B25" s="633" t="s">
        <v>662</v>
      </c>
      <c r="C25" s="633" t="s">
        <v>663</v>
      </c>
      <c r="D25" s="632" t="s">
        <v>621</v>
      </c>
      <c r="E25" s="634" t="s">
        <v>632</v>
      </c>
      <c r="F25" s="634" t="s">
        <v>632</v>
      </c>
      <c r="H25" s="23"/>
      <c r="I25" s="515" t="s">
        <v>664</v>
      </c>
      <c r="J25" s="29" t="s">
        <v>665</v>
      </c>
      <c r="K25" s="223" t="s">
        <v>586</v>
      </c>
      <c r="L25" s="238"/>
      <c r="M25" s="176"/>
      <c r="N25" s="238"/>
      <c r="O25" s="170"/>
      <c r="P25" s="29"/>
      <c r="Q25" s="170"/>
      <c r="AL25" s="4">
        <v>23</v>
      </c>
    </row>
    <row r="26" spans="1:38" ht="24" customHeight="1">
      <c r="A26" s="255"/>
      <c r="B26" s="633" t="s">
        <v>666</v>
      </c>
      <c r="C26" s="633" t="s">
        <v>667</v>
      </c>
      <c r="D26" s="632" t="s">
        <v>621</v>
      </c>
      <c r="E26" s="634" t="s">
        <v>632</v>
      </c>
      <c r="F26" s="634" t="s">
        <v>632</v>
      </c>
      <c r="H26" s="23"/>
      <c r="I26" s="515">
        <v>7</v>
      </c>
      <c r="J26" s="29" t="s">
        <v>667</v>
      </c>
      <c r="K26" s="223" t="s">
        <v>668</v>
      </c>
      <c r="L26" s="238"/>
      <c r="M26" s="176"/>
      <c r="N26" s="238"/>
      <c r="O26" s="170"/>
      <c r="P26" s="29"/>
      <c r="Q26" s="170"/>
      <c r="AL26" s="4">
        <v>23</v>
      </c>
    </row>
    <row r="27" spans="1:38" ht="24" customHeight="1">
      <c r="A27" s="255"/>
      <c r="B27" s="633" t="s">
        <v>669</v>
      </c>
      <c r="C27" s="633" t="s">
        <v>670</v>
      </c>
      <c r="D27" s="632" t="s">
        <v>621</v>
      </c>
      <c r="E27" s="634" t="s">
        <v>632</v>
      </c>
      <c r="F27" s="634" t="s">
        <v>632</v>
      </c>
      <c r="H27" s="23"/>
      <c r="I27" s="515">
        <v>8</v>
      </c>
      <c r="J27" s="29" t="s">
        <v>670</v>
      </c>
      <c r="K27" s="223" t="s">
        <v>592</v>
      </c>
      <c r="L27" s="238"/>
      <c r="M27" s="176"/>
      <c r="N27" s="238"/>
      <c r="O27" s="170"/>
      <c r="P27" s="29"/>
      <c r="Q27" s="170"/>
      <c r="AL27" s="4">
        <v>23</v>
      </c>
    </row>
    <row r="28" spans="1:38" ht="35.65" customHeight="1">
      <c r="A28" s="255"/>
      <c r="B28" s="633" t="s">
        <v>671</v>
      </c>
      <c r="C28" s="633" t="s">
        <v>672</v>
      </c>
      <c r="D28" s="632" t="s">
        <v>621</v>
      </c>
      <c r="E28" s="634" t="s">
        <v>632</v>
      </c>
      <c r="F28" s="634" t="s">
        <v>632</v>
      </c>
      <c r="H28" s="23"/>
      <c r="I28" s="516">
        <v>9</v>
      </c>
      <c r="J28" s="29" t="s">
        <v>673</v>
      </c>
      <c r="K28" s="223" t="s">
        <v>563</v>
      </c>
      <c r="L28" s="238"/>
      <c r="M28" s="176"/>
      <c r="N28" s="238"/>
      <c r="O28" s="170"/>
      <c r="P28" s="29"/>
      <c r="Q28" s="170"/>
      <c r="AL28" s="4">
        <v>34</v>
      </c>
    </row>
    <row r="29" spans="1:38" ht="35.65" customHeight="1">
      <c r="A29" s="255"/>
      <c r="B29" s="633" t="s">
        <v>674</v>
      </c>
      <c r="C29" s="633" t="s">
        <v>675</v>
      </c>
      <c r="D29" s="632" t="s">
        <v>621</v>
      </c>
      <c r="E29" s="634" t="s">
        <v>632</v>
      </c>
      <c r="F29" s="634" t="s">
        <v>632</v>
      </c>
      <c r="H29" s="23"/>
      <c r="I29" s="516">
        <v>10</v>
      </c>
      <c r="J29" s="29" t="s">
        <v>676</v>
      </c>
      <c r="K29" s="223" t="s">
        <v>563</v>
      </c>
      <c r="L29" s="238"/>
      <c r="M29" s="176"/>
      <c r="N29" s="238"/>
      <c r="O29" s="170"/>
      <c r="P29" s="29"/>
      <c r="Q29" s="170"/>
      <c r="AL29" s="4">
        <v>34</v>
      </c>
    </row>
    <row r="30" spans="1:38" ht="24" customHeight="1">
      <c r="A30" s="255"/>
      <c r="B30" s="633" t="s">
        <v>677</v>
      </c>
      <c r="C30" s="633" t="s">
        <v>678</v>
      </c>
      <c r="D30" s="632" t="s">
        <v>621</v>
      </c>
      <c r="E30" s="634" t="s">
        <v>632</v>
      </c>
      <c r="F30" s="634" t="s">
        <v>632</v>
      </c>
      <c r="H30" s="23"/>
      <c r="I30" s="516">
        <v>11</v>
      </c>
      <c r="J30" s="29" t="s">
        <v>678</v>
      </c>
      <c r="K30" s="223" t="s">
        <v>593</v>
      </c>
      <c r="L30" s="218"/>
      <c r="M30" s="512"/>
      <c r="N30" s="218"/>
      <c r="O30" s="170"/>
      <c r="P30" s="29"/>
      <c r="Q30" s="170"/>
      <c r="AL30" s="4">
        <v>23</v>
      </c>
    </row>
    <row r="31" spans="1:38" ht="24" customHeight="1">
      <c r="A31" s="255"/>
      <c r="B31" s="633" t="s">
        <v>679</v>
      </c>
      <c r="C31" s="633" t="s">
        <v>680</v>
      </c>
      <c r="D31" s="632" t="s">
        <v>621</v>
      </c>
      <c r="E31" s="634" t="s">
        <v>632</v>
      </c>
      <c r="F31" s="634" t="s">
        <v>632</v>
      </c>
      <c r="H31" s="23"/>
      <c r="I31" s="516">
        <v>12</v>
      </c>
      <c r="J31" s="29" t="s">
        <v>680</v>
      </c>
      <c r="K31" s="223" t="s">
        <v>593</v>
      </c>
      <c r="L31" s="218"/>
      <c r="M31" s="512"/>
      <c r="N31" s="218"/>
      <c r="O31" s="170"/>
      <c r="P31" s="29"/>
      <c r="Q31" s="170"/>
      <c r="AL31" s="4">
        <v>23</v>
      </c>
    </row>
    <row r="32" spans="1:38" ht="48.2" customHeight="1">
      <c r="A32" s="255"/>
      <c r="B32" s="633" t="s">
        <v>681</v>
      </c>
      <c r="C32" s="633" t="s">
        <v>682</v>
      </c>
      <c r="D32" s="632" t="s">
        <v>621</v>
      </c>
      <c r="E32" s="634" t="s">
        <v>632</v>
      </c>
      <c r="F32" s="634" t="s">
        <v>632</v>
      </c>
      <c r="H32" s="23"/>
      <c r="I32" s="516">
        <v>13</v>
      </c>
      <c r="J32" s="29" t="s">
        <v>683</v>
      </c>
      <c r="K32" s="223" t="s">
        <v>603</v>
      </c>
      <c r="L32" s="238"/>
      <c r="M32" s="176"/>
      <c r="N32" s="238"/>
      <c r="O32" s="170"/>
      <c r="P32" s="29" t="s">
        <v>643</v>
      </c>
      <c r="Q32" s="170"/>
      <c r="AL32" s="4">
        <v>46</v>
      </c>
    </row>
    <row r="33" spans="1:38" s="43" customFormat="1" ht="48.2" customHeight="1">
      <c r="A33" s="255"/>
      <c r="B33" s="633" t="s">
        <v>684</v>
      </c>
      <c r="C33" s="633" t="s">
        <v>685</v>
      </c>
      <c r="D33" s="632" t="s">
        <v>621</v>
      </c>
      <c r="E33" s="634" t="s">
        <v>632</v>
      </c>
      <c r="F33" s="634" t="s">
        <v>632</v>
      </c>
      <c r="G33" s="46"/>
      <c r="H33" s="23"/>
      <c r="I33" s="516">
        <v>14</v>
      </c>
      <c r="J33" s="100" t="s">
        <v>686</v>
      </c>
      <c r="K33" s="495" t="s">
        <v>687</v>
      </c>
      <c r="L33" s="238"/>
      <c r="M33" s="176"/>
      <c r="N33" s="238"/>
      <c r="O33" s="170"/>
      <c r="P33" s="29" t="s">
        <v>643</v>
      </c>
      <c r="Q33" s="170"/>
      <c r="R33" s="46"/>
      <c r="S33" s="46"/>
      <c r="X33" s="46"/>
      <c r="AA33" s="77"/>
      <c r="AG33" s="7"/>
      <c r="AH33" s="7"/>
      <c r="AI33" s="7"/>
      <c r="AJ33" s="7"/>
      <c r="AK33" s="7"/>
      <c r="AL33" s="43">
        <v>46</v>
      </c>
    </row>
    <row r="34" spans="1:38" ht="108" customHeight="1">
      <c r="A34" s="255"/>
      <c r="B34" s="633" t="s">
        <v>688</v>
      </c>
      <c r="C34" s="633" t="s">
        <v>689</v>
      </c>
      <c r="D34" s="632" t="s">
        <v>631</v>
      </c>
      <c r="E34" s="634" t="s">
        <v>632</v>
      </c>
      <c r="F34" s="634" t="s">
        <v>632</v>
      </c>
      <c r="G34" s="46" t="s">
        <v>591</v>
      </c>
      <c r="H34" s="23"/>
      <c r="I34" s="31">
        <v>15</v>
      </c>
      <c r="J34" s="29" t="s">
        <v>690</v>
      </c>
      <c r="K34" s="223" t="s">
        <v>309</v>
      </c>
      <c r="L34" s="124"/>
      <c r="M34" s="72"/>
      <c r="N34" s="124"/>
      <c r="O34" s="170"/>
      <c r="P34" s="29" t="s">
        <v>635</v>
      </c>
      <c r="Q34" s="170"/>
      <c r="AL34" s="4">
        <v>103</v>
      </c>
    </row>
    <row r="35" spans="1:38" s="117" customFormat="1" ht="11.45" customHeight="1">
      <c r="A35" s="330"/>
      <c r="B35" s="330"/>
      <c r="C35" s="330"/>
      <c r="D35" s="330"/>
      <c r="E35" s="330"/>
      <c r="F35" s="46"/>
      <c r="G35" s="46"/>
      <c r="O35" s="43"/>
      <c r="Q35" s="43"/>
      <c r="R35" s="46"/>
      <c r="S35" s="46"/>
      <c r="T35" s="43"/>
      <c r="U35" s="43"/>
      <c r="V35" s="43"/>
      <c r="W35" s="43"/>
      <c r="X35" s="46"/>
      <c r="Y35" s="43"/>
      <c r="Z35" s="43"/>
      <c r="AA35" s="77"/>
      <c r="AB35" s="43"/>
      <c r="AC35" s="43"/>
      <c r="AD35" s="43"/>
      <c r="AE35" s="43"/>
      <c r="AF35" s="43"/>
      <c r="AG35" s="7"/>
      <c r="AH35" s="88"/>
      <c r="AI35" s="88"/>
      <c r="AJ35" s="88"/>
      <c r="AK35" s="88"/>
      <c r="AL35" s="117">
        <v>11</v>
      </c>
    </row>
    <row r="36" spans="1:38" s="117" customFormat="1" ht="11.45" customHeight="1">
      <c r="A36" s="330"/>
      <c r="B36" s="330"/>
      <c r="C36" s="330"/>
      <c r="D36" s="330"/>
      <c r="E36" s="330"/>
      <c r="F36" s="46"/>
      <c r="G36" s="46"/>
      <c r="O36" s="43"/>
      <c r="Q36" s="43"/>
      <c r="R36" s="46"/>
      <c r="S36" s="46"/>
      <c r="T36" s="43"/>
      <c r="U36" s="43"/>
      <c r="V36" s="43"/>
      <c r="W36" s="43"/>
      <c r="X36" s="46"/>
      <c r="Y36" s="43"/>
      <c r="Z36" s="43"/>
      <c r="AA36" s="77"/>
      <c r="AB36" s="43"/>
      <c r="AC36" s="43"/>
      <c r="AD36" s="43"/>
      <c r="AE36" s="43"/>
      <c r="AF36" s="43"/>
      <c r="AG36" s="7"/>
      <c r="AH36" s="88"/>
      <c r="AI36" s="88"/>
      <c r="AJ36" s="88"/>
      <c r="AK36" s="88"/>
      <c r="AL36" s="117">
        <v>11</v>
      </c>
    </row>
    <row r="37" spans="1:38" s="117" customFormat="1" ht="11.45" customHeight="1">
      <c r="A37" s="330"/>
      <c r="B37" s="330"/>
      <c r="C37" s="330"/>
      <c r="D37" s="330"/>
      <c r="E37" s="330"/>
      <c r="F37" s="46"/>
      <c r="G37" s="46"/>
      <c r="L37" s="88"/>
      <c r="M37" s="88"/>
      <c r="N37" s="88"/>
      <c r="O37" s="43"/>
      <c r="Q37" s="43"/>
      <c r="R37" s="46"/>
      <c r="S37" s="46"/>
      <c r="T37" s="43"/>
      <c r="U37" s="43"/>
      <c r="V37" s="43"/>
      <c r="W37" s="43"/>
      <c r="X37" s="46"/>
      <c r="Y37" s="43"/>
      <c r="Z37" s="43"/>
      <c r="AA37" s="77"/>
      <c r="AB37" s="43"/>
      <c r="AC37" s="43"/>
      <c r="AD37" s="43"/>
      <c r="AE37" s="43"/>
      <c r="AF37" s="43"/>
      <c r="AG37" s="7"/>
      <c r="AH37" s="88"/>
      <c r="AI37" s="88"/>
      <c r="AJ37" s="88"/>
      <c r="AK37" s="88"/>
      <c r="AL37" s="117">
        <v>11</v>
      </c>
    </row>
    <row r="38" spans="1:38" s="117" customFormat="1" ht="11.45" customHeight="1">
      <c r="A38" s="330"/>
      <c r="B38" s="330"/>
      <c r="C38" s="330"/>
      <c r="D38" s="330"/>
      <c r="E38" s="330"/>
      <c r="F38" s="46"/>
      <c r="G38" s="46"/>
      <c r="O38" s="43"/>
      <c r="Q38" s="43"/>
      <c r="R38" s="46"/>
      <c r="S38" s="46"/>
      <c r="T38" s="43"/>
      <c r="U38" s="43"/>
      <c r="V38" s="43"/>
      <c r="W38" s="43"/>
      <c r="X38" s="46"/>
      <c r="Y38" s="43"/>
      <c r="Z38" s="43"/>
      <c r="AA38" s="77"/>
      <c r="AB38" s="43"/>
      <c r="AC38" s="43"/>
      <c r="AD38" s="43"/>
      <c r="AE38" s="43"/>
      <c r="AF38" s="43"/>
      <c r="AG38" s="7"/>
      <c r="AH38" s="88"/>
      <c r="AI38" s="88"/>
      <c r="AJ38" s="88"/>
      <c r="AK38" s="88"/>
      <c r="AL38" s="117">
        <v>11</v>
      </c>
    </row>
    <row r="39" spans="1:38" s="117" customFormat="1" ht="11.45" customHeight="1">
      <c r="A39" s="330"/>
      <c r="B39" s="330"/>
      <c r="C39" s="330"/>
      <c r="D39" s="330"/>
      <c r="E39" s="330"/>
      <c r="F39" s="46"/>
      <c r="G39" s="46"/>
      <c r="O39" s="43"/>
      <c r="Q39" s="43"/>
      <c r="R39" s="46"/>
      <c r="S39" s="46"/>
      <c r="T39" s="43"/>
      <c r="U39" s="43"/>
      <c r="V39" s="43"/>
      <c r="W39" s="43"/>
      <c r="X39" s="46"/>
      <c r="Y39" s="43"/>
      <c r="Z39" s="43"/>
      <c r="AA39" s="77"/>
      <c r="AB39" s="43"/>
      <c r="AC39" s="43"/>
      <c r="AD39" s="43"/>
      <c r="AE39" s="43"/>
      <c r="AF39" s="43"/>
      <c r="AG39" s="7"/>
      <c r="AH39" s="88"/>
      <c r="AI39" s="88"/>
      <c r="AJ39" s="88"/>
      <c r="AK39" s="88"/>
      <c r="AL39" s="117">
        <v>11</v>
      </c>
    </row>
    <row r="40" spans="1:38" s="117" customFormat="1" ht="11.45" customHeight="1">
      <c r="A40" s="330"/>
      <c r="B40" s="330"/>
      <c r="C40" s="330"/>
      <c r="D40" s="330"/>
      <c r="E40" s="330"/>
      <c r="F40" s="46"/>
      <c r="G40" s="46"/>
      <c r="O40" s="43"/>
      <c r="Q40" s="43"/>
      <c r="R40" s="46"/>
      <c r="S40" s="46"/>
      <c r="T40" s="43"/>
      <c r="U40" s="43"/>
      <c r="V40" s="43"/>
      <c r="W40" s="43"/>
      <c r="X40" s="46"/>
      <c r="Y40" s="43"/>
      <c r="Z40" s="43"/>
      <c r="AA40" s="77"/>
      <c r="AB40" s="43"/>
      <c r="AC40" s="43"/>
      <c r="AD40" s="43"/>
      <c r="AE40" s="43"/>
      <c r="AF40" s="43"/>
      <c r="AG40" s="7"/>
      <c r="AH40" s="88"/>
      <c r="AI40" s="88"/>
      <c r="AJ40" s="88"/>
      <c r="AK40" s="88"/>
      <c r="AL40" s="117">
        <v>11</v>
      </c>
    </row>
    <row r="41" spans="1:38" s="117" customFormat="1" ht="11.45" customHeight="1">
      <c r="A41" s="330"/>
      <c r="B41" s="330"/>
      <c r="C41" s="330"/>
      <c r="D41" s="330"/>
      <c r="E41" s="330"/>
      <c r="F41" s="46"/>
      <c r="G41" s="46"/>
      <c r="O41" s="43"/>
      <c r="Q41" s="43"/>
      <c r="R41" s="46"/>
      <c r="S41" s="46"/>
      <c r="T41" s="43"/>
      <c r="U41" s="43"/>
      <c r="V41" s="43"/>
      <c r="W41" s="43"/>
      <c r="X41" s="46"/>
      <c r="Y41" s="43"/>
      <c r="Z41" s="43"/>
      <c r="AA41" s="77"/>
      <c r="AB41" s="43"/>
      <c r="AC41" s="43"/>
      <c r="AD41" s="43"/>
      <c r="AE41" s="43"/>
      <c r="AF41" s="43"/>
      <c r="AG41" s="7"/>
      <c r="AH41" s="88"/>
      <c r="AI41" s="88"/>
      <c r="AJ41" s="88"/>
      <c r="AK41" s="88"/>
      <c r="AL41" s="117">
        <v>11</v>
      </c>
    </row>
    <row r="42" spans="1:38" s="117" customFormat="1" ht="11.45" customHeight="1">
      <c r="A42" s="330"/>
      <c r="B42" s="330"/>
      <c r="C42" s="330"/>
      <c r="D42" s="330"/>
      <c r="E42" s="330"/>
      <c r="F42" s="46"/>
      <c r="G42" s="46"/>
      <c r="O42" s="43"/>
      <c r="Q42" s="43"/>
      <c r="R42" s="46"/>
      <c r="S42" s="46"/>
      <c r="T42" s="43"/>
      <c r="U42" s="43"/>
      <c r="V42" s="43"/>
      <c r="W42" s="43"/>
      <c r="X42" s="46"/>
      <c r="Y42" s="43"/>
      <c r="Z42" s="43"/>
      <c r="AA42" s="77"/>
      <c r="AB42" s="43"/>
      <c r="AC42" s="43"/>
      <c r="AD42" s="43"/>
      <c r="AE42" s="43"/>
      <c r="AF42" s="43"/>
      <c r="AG42" s="7"/>
      <c r="AH42" s="88"/>
      <c r="AI42" s="88"/>
      <c r="AJ42" s="88"/>
      <c r="AK42" s="88"/>
      <c r="AL42" s="117">
        <v>11</v>
      </c>
    </row>
    <row r="43" spans="1:38" s="117" customFormat="1" ht="11.45" customHeight="1">
      <c r="A43" s="330"/>
      <c r="B43" s="330"/>
      <c r="C43" s="330"/>
      <c r="D43" s="330"/>
      <c r="E43" s="330"/>
      <c r="F43" s="46"/>
      <c r="G43" s="46"/>
      <c r="O43" s="43"/>
      <c r="Q43" s="43"/>
      <c r="R43" s="46"/>
      <c r="S43" s="46"/>
      <c r="T43" s="43"/>
      <c r="U43" s="43"/>
      <c r="V43" s="43"/>
      <c r="W43" s="43"/>
      <c r="X43" s="46"/>
      <c r="Y43" s="43"/>
      <c r="Z43" s="43"/>
      <c r="AA43" s="77"/>
      <c r="AB43" s="43"/>
      <c r="AC43" s="43"/>
      <c r="AD43" s="43"/>
      <c r="AE43" s="43"/>
      <c r="AF43" s="43"/>
      <c r="AG43" s="7"/>
      <c r="AH43" s="88"/>
      <c r="AI43" s="88"/>
      <c r="AJ43" s="88"/>
      <c r="AK43" s="88"/>
      <c r="AL43" s="117">
        <v>11</v>
      </c>
    </row>
    <row r="44" spans="1:38" s="117" customFormat="1" ht="11.45" customHeight="1">
      <c r="A44" s="330"/>
      <c r="B44" s="330"/>
      <c r="C44" s="330"/>
      <c r="D44" s="330"/>
      <c r="E44" s="330"/>
      <c r="F44" s="46"/>
      <c r="G44" s="46"/>
      <c r="O44" s="43"/>
      <c r="Q44" s="43"/>
      <c r="R44" s="46"/>
      <c r="S44" s="46"/>
      <c r="T44" s="43"/>
      <c r="U44" s="43"/>
      <c r="V44" s="43"/>
      <c r="W44" s="43"/>
      <c r="X44" s="46"/>
      <c r="Y44" s="43"/>
      <c r="Z44" s="43"/>
      <c r="AA44" s="77"/>
      <c r="AB44" s="43"/>
      <c r="AC44" s="43"/>
      <c r="AD44" s="43"/>
      <c r="AE44" s="43"/>
      <c r="AF44" s="43"/>
      <c r="AG44" s="7"/>
      <c r="AH44" s="88"/>
      <c r="AI44" s="88"/>
      <c r="AJ44" s="88"/>
      <c r="AK44" s="88"/>
      <c r="AL44" s="117">
        <v>11</v>
      </c>
    </row>
    <row r="45" spans="1:38" s="117" customFormat="1" ht="11.45" customHeight="1">
      <c r="A45" s="330"/>
      <c r="B45" s="330"/>
      <c r="C45" s="330"/>
      <c r="D45" s="330"/>
      <c r="E45" s="330"/>
      <c r="F45" s="46"/>
      <c r="G45" s="46"/>
      <c r="O45" s="43"/>
      <c r="Q45" s="43"/>
      <c r="R45" s="46"/>
      <c r="S45" s="46"/>
      <c r="T45" s="43"/>
      <c r="U45" s="43"/>
      <c r="V45" s="43"/>
      <c r="W45" s="43"/>
      <c r="X45" s="46"/>
      <c r="Y45" s="43"/>
      <c r="Z45" s="43"/>
      <c r="AA45" s="77"/>
      <c r="AB45" s="43"/>
      <c r="AC45" s="43"/>
      <c r="AD45" s="43"/>
      <c r="AE45" s="43"/>
      <c r="AF45" s="43"/>
      <c r="AG45" s="7"/>
      <c r="AH45" s="88"/>
      <c r="AI45" s="88"/>
      <c r="AJ45" s="88"/>
      <c r="AK45" s="88"/>
      <c r="AL45" s="117">
        <v>11</v>
      </c>
    </row>
    <row r="46" spans="1:38" s="117" customFormat="1" ht="11.45" customHeight="1">
      <c r="A46" s="330"/>
      <c r="B46" s="330"/>
      <c r="C46" s="330"/>
      <c r="D46" s="330"/>
      <c r="E46" s="330"/>
      <c r="F46" s="46"/>
      <c r="G46" s="46"/>
      <c r="O46" s="43"/>
      <c r="Q46" s="43"/>
      <c r="R46" s="46"/>
      <c r="S46" s="46"/>
      <c r="T46" s="43"/>
      <c r="U46" s="43"/>
      <c r="V46" s="43"/>
      <c r="W46" s="43"/>
      <c r="X46" s="46"/>
      <c r="Y46" s="43"/>
      <c r="Z46" s="43"/>
      <c r="AA46" s="77"/>
      <c r="AB46" s="43"/>
      <c r="AC46" s="43"/>
      <c r="AD46" s="43"/>
      <c r="AE46" s="43"/>
      <c r="AF46" s="43"/>
      <c r="AG46" s="7"/>
      <c r="AH46" s="88"/>
      <c r="AI46" s="88"/>
      <c r="AJ46" s="88"/>
      <c r="AK46" s="88"/>
      <c r="AL46" s="117">
        <v>11</v>
      </c>
    </row>
    <row r="47" spans="1:38" s="117" customFormat="1" ht="11.45" customHeight="1">
      <c r="A47" s="330"/>
      <c r="B47" s="330"/>
      <c r="C47" s="330"/>
      <c r="D47" s="330"/>
      <c r="E47" s="330"/>
      <c r="F47" s="46"/>
      <c r="G47" s="46"/>
      <c r="O47" s="43"/>
      <c r="Q47" s="43"/>
      <c r="R47" s="46"/>
      <c r="S47" s="46"/>
      <c r="T47" s="43"/>
      <c r="U47" s="43"/>
      <c r="V47" s="43"/>
      <c r="W47" s="43"/>
      <c r="X47" s="46"/>
      <c r="Y47" s="43"/>
      <c r="Z47" s="43"/>
      <c r="AA47" s="77"/>
      <c r="AB47" s="43"/>
      <c r="AC47" s="43"/>
      <c r="AD47" s="43"/>
      <c r="AE47" s="43"/>
      <c r="AF47" s="43"/>
      <c r="AG47" s="7"/>
      <c r="AH47" s="88"/>
      <c r="AI47" s="88"/>
      <c r="AJ47" s="88"/>
      <c r="AK47" s="88"/>
      <c r="AL47" s="117">
        <v>11</v>
      </c>
    </row>
    <row r="48" spans="1:38" s="117" customFormat="1" ht="11.45" customHeight="1">
      <c r="A48" s="330"/>
      <c r="B48" s="330"/>
      <c r="C48" s="330"/>
      <c r="D48" s="330"/>
      <c r="E48" s="330"/>
      <c r="F48" s="46"/>
      <c r="G48" s="46"/>
      <c r="O48" s="43"/>
      <c r="Q48" s="43"/>
      <c r="R48" s="46"/>
      <c r="S48" s="46"/>
      <c r="T48" s="43"/>
      <c r="U48" s="43"/>
      <c r="V48" s="43"/>
      <c r="W48" s="43"/>
      <c r="X48" s="46"/>
      <c r="Y48" s="43"/>
      <c r="Z48" s="43"/>
      <c r="AA48" s="77"/>
      <c r="AB48" s="43"/>
      <c r="AC48" s="43"/>
      <c r="AD48" s="43"/>
      <c r="AE48" s="43"/>
      <c r="AF48" s="43"/>
      <c r="AG48" s="7"/>
      <c r="AH48" s="88"/>
      <c r="AI48" s="88"/>
      <c r="AJ48" s="88"/>
      <c r="AK48" s="88"/>
      <c r="AL48" s="117">
        <v>11</v>
      </c>
    </row>
    <row r="49" spans="1:38" s="117" customFormat="1" ht="11.45" customHeight="1">
      <c r="A49" s="330"/>
      <c r="B49" s="330"/>
      <c r="C49" s="330"/>
      <c r="D49" s="330"/>
      <c r="E49" s="330"/>
      <c r="F49" s="46"/>
      <c r="G49" s="46"/>
      <c r="O49" s="43"/>
      <c r="Q49" s="43"/>
      <c r="R49" s="46"/>
      <c r="S49" s="46"/>
      <c r="T49" s="43"/>
      <c r="U49" s="43"/>
      <c r="V49" s="43"/>
      <c r="W49" s="43"/>
      <c r="X49" s="46"/>
      <c r="Y49" s="43"/>
      <c r="Z49" s="43"/>
      <c r="AA49" s="77"/>
      <c r="AB49" s="43"/>
      <c r="AC49" s="43"/>
      <c r="AD49" s="43"/>
      <c r="AE49" s="43"/>
      <c r="AF49" s="43"/>
      <c r="AG49" s="7"/>
      <c r="AH49" s="88"/>
      <c r="AI49" s="88"/>
      <c r="AJ49" s="88"/>
      <c r="AK49" s="88"/>
      <c r="AL49" s="117">
        <v>11</v>
      </c>
    </row>
    <row r="50" spans="1:38" s="117" customFormat="1" ht="11.45" customHeight="1">
      <c r="A50" s="330"/>
      <c r="B50" s="330"/>
      <c r="C50" s="330"/>
      <c r="D50" s="330"/>
      <c r="E50" s="330"/>
      <c r="F50" s="46"/>
      <c r="G50" s="46"/>
      <c r="O50" s="43"/>
      <c r="Q50" s="43"/>
      <c r="R50" s="46"/>
      <c r="S50" s="46"/>
      <c r="T50" s="43"/>
      <c r="U50" s="43"/>
      <c r="V50" s="43"/>
      <c r="W50" s="43"/>
      <c r="X50" s="46"/>
      <c r="Y50" s="43"/>
      <c r="Z50" s="43"/>
      <c r="AA50" s="77"/>
      <c r="AB50" s="43"/>
      <c r="AC50" s="43"/>
      <c r="AD50" s="43"/>
      <c r="AE50" s="43"/>
      <c r="AF50" s="43"/>
      <c r="AG50" s="7"/>
      <c r="AH50" s="88"/>
      <c r="AI50" s="88"/>
      <c r="AJ50" s="88"/>
      <c r="AK50" s="88"/>
      <c r="AL50" s="117">
        <v>11</v>
      </c>
    </row>
    <row r="51" spans="1:38" s="117" customFormat="1" ht="11.45" customHeight="1">
      <c r="A51" s="330"/>
      <c r="B51" s="330"/>
      <c r="C51" s="330"/>
      <c r="D51" s="330"/>
      <c r="E51" s="330"/>
      <c r="F51" s="46"/>
      <c r="G51" s="46"/>
      <c r="O51" s="43"/>
      <c r="Q51" s="43"/>
      <c r="R51" s="46"/>
      <c r="S51" s="46"/>
      <c r="T51" s="43"/>
      <c r="U51" s="43"/>
      <c r="V51" s="43"/>
      <c r="W51" s="43"/>
      <c r="X51" s="46"/>
      <c r="Y51" s="43"/>
      <c r="Z51" s="43"/>
      <c r="AA51" s="77"/>
      <c r="AB51" s="43"/>
      <c r="AC51" s="43"/>
      <c r="AD51" s="43"/>
      <c r="AE51" s="43"/>
      <c r="AF51" s="43"/>
      <c r="AG51" s="7"/>
      <c r="AH51" s="88"/>
      <c r="AI51" s="88"/>
      <c r="AJ51" s="88"/>
      <c r="AK51" s="88"/>
      <c r="AL51" s="117">
        <v>11</v>
      </c>
    </row>
    <row r="52" spans="1:38" s="117" customFormat="1" ht="11.45" customHeight="1">
      <c r="A52" s="330"/>
      <c r="B52" s="330"/>
      <c r="C52" s="330"/>
      <c r="D52" s="330"/>
      <c r="E52" s="330"/>
      <c r="F52" s="46"/>
      <c r="G52" s="46"/>
      <c r="O52" s="43"/>
      <c r="Q52" s="43"/>
      <c r="R52" s="46"/>
      <c r="S52" s="46"/>
      <c r="T52" s="43"/>
      <c r="U52" s="43"/>
      <c r="V52" s="43"/>
      <c r="W52" s="43"/>
      <c r="X52" s="46"/>
      <c r="Y52" s="43"/>
      <c r="Z52" s="43"/>
      <c r="AA52" s="77"/>
      <c r="AB52" s="43"/>
      <c r="AC52" s="43"/>
      <c r="AD52" s="43"/>
      <c r="AE52" s="43"/>
      <c r="AF52" s="43"/>
      <c r="AG52" s="7"/>
      <c r="AH52" s="88"/>
      <c r="AI52" s="88"/>
      <c r="AJ52" s="88"/>
      <c r="AK52" s="88"/>
      <c r="AL52" s="117">
        <v>11</v>
      </c>
    </row>
    <row r="53" spans="1:38" s="117" customFormat="1" ht="11.45" customHeight="1">
      <c r="A53" s="330"/>
      <c r="B53" s="330"/>
      <c r="C53" s="330"/>
      <c r="D53" s="330"/>
      <c r="E53" s="330"/>
      <c r="F53" s="46"/>
      <c r="G53" s="46"/>
      <c r="O53" s="43"/>
      <c r="Q53" s="43"/>
      <c r="R53" s="46"/>
      <c r="S53" s="46"/>
      <c r="T53" s="43"/>
      <c r="U53" s="43"/>
      <c r="V53" s="43"/>
      <c r="W53" s="43"/>
      <c r="X53" s="46"/>
      <c r="Y53" s="43"/>
      <c r="Z53" s="43"/>
      <c r="AA53" s="77"/>
      <c r="AB53" s="43"/>
      <c r="AC53" s="43"/>
      <c r="AD53" s="43"/>
      <c r="AE53" s="43"/>
      <c r="AF53" s="43"/>
      <c r="AG53" s="7"/>
      <c r="AH53" s="88"/>
      <c r="AI53" s="88"/>
      <c r="AJ53" s="88"/>
      <c r="AK53" s="88"/>
      <c r="AL53" s="117">
        <v>11</v>
      </c>
    </row>
    <row r="54" spans="1:38" s="117" customFormat="1" ht="11.45" customHeight="1">
      <c r="A54" s="330"/>
      <c r="B54" s="330"/>
      <c r="C54" s="330"/>
      <c r="D54" s="330"/>
      <c r="E54" s="330"/>
      <c r="F54" s="46"/>
      <c r="G54" s="46"/>
      <c r="O54" s="43"/>
      <c r="Q54" s="43"/>
      <c r="R54" s="46"/>
      <c r="S54" s="46"/>
      <c r="T54" s="43"/>
      <c r="U54" s="43"/>
      <c r="V54" s="43"/>
      <c r="W54" s="43"/>
      <c r="X54" s="46"/>
      <c r="Y54" s="43"/>
      <c r="Z54" s="43"/>
      <c r="AA54" s="77"/>
      <c r="AB54" s="43"/>
      <c r="AC54" s="43"/>
      <c r="AD54" s="43"/>
      <c r="AE54" s="43"/>
      <c r="AF54" s="43"/>
      <c r="AG54" s="7"/>
      <c r="AH54" s="88"/>
      <c r="AI54" s="88"/>
      <c r="AJ54" s="88"/>
      <c r="AK54" s="88"/>
      <c r="AL54" s="117">
        <v>11</v>
      </c>
    </row>
    <row r="55" spans="1:38" s="117" customFormat="1" ht="11.45" customHeight="1">
      <c r="A55" s="330"/>
      <c r="B55" s="330"/>
      <c r="C55" s="330"/>
      <c r="D55" s="330"/>
      <c r="E55" s="330"/>
      <c r="F55" s="46"/>
      <c r="G55" s="46"/>
      <c r="O55" s="43"/>
      <c r="Q55" s="43"/>
      <c r="R55" s="46"/>
      <c r="S55" s="46"/>
      <c r="T55" s="43"/>
      <c r="U55" s="43"/>
      <c r="V55" s="43"/>
      <c r="W55" s="43"/>
      <c r="X55" s="46"/>
      <c r="Y55" s="43"/>
      <c r="Z55" s="43"/>
      <c r="AA55" s="77"/>
      <c r="AB55" s="43"/>
      <c r="AC55" s="43"/>
      <c r="AD55" s="43"/>
      <c r="AE55" s="43"/>
      <c r="AF55" s="43"/>
      <c r="AG55" s="7"/>
      <c r="AH55" s="88"/>
      <c r="AI55" s="88"/>
      <c r="AJ55" s="88"/>
      <c r="AK55" s="88"/>
      <c r="AL55" s="117">
        <v>11</v>
      </c>
    </row>
    <row r="56" spans="1:38" s="117" customFormat="1" ht="11.45" customHeight="1">
      <c r="A56" s="330"/>
      <c r="B56" s="330"/>
      <c r="C56" s="330"/>
      <c r="D56" s="330"/>
      <c r="E56" s="330"/>
      <c r="F56" s="46"/>
      <c r="G56" s="46"/>
      <c r="O56" s="43"/>
      <c r="Q56" s="43"/>
      <c r="R56" s="46"/>
      <c r="S56" s="46"/>
      <c r="T56" s="43"/>
      <c r="U56" s="43"/>
      <c r="V56" s="43"/>
      <c r="W56" s="43"/>
      <c r="X56" s="46"/>
      <c r="Y56" s="43"/>
      <c r="Z56" s="43"/>
      <c r="AA56" s="77"/>
      <c r="AB56" s="43"/>
      <c r="AC56" s="43"/>
      <c r="AD56" s="43"/>
      <c r="AE56" s="43"/>
      <c r="AF56" s="43"/>
      <c r="AG56" s="7"/>
      <c r="AH56" s="88"/>
      <c r="AI56" s="88"/>
      <c r="AJ56" s="88"/>
      <c r="AK56" s="88"/>
      <c r="AL56" s="117">
        <v>11</v>
      </c>
    </row>
    <row r="57" spans="1:38" s="117" customFormat="1" ht="11.45" customHeight="1">
      <c r="A57" s="330"/>
      <c r="B57" s="330"/>
      <c r="C57" s="330"/>
      <c r="D57" s="330"/>
      <c r="E57" s="330"/>
      <c r="F57" s="46"/>
      <c r="G57" s="46"/>
      <c r="O57" s="43"/>
      <c r="Q57" s="43"/>
      <c r="R57" s="46"/>
      <c r="S57" s="46"/>
      <c r="T57" s="43"/>
      <c r="U57" s="43"/>
      <c r="V57" s="43"/>
      <c r="W57" s="43"/>
      <c r="X57" s="46"/>
      <c r="Y57" s="43"/>
      <c r="Z57" s="43"/>
      <c r="AA57" s="77"/>
      <c r="AB57" s="43"/>
      <c r="AC57" s="43"/>
      <c r="AD57" s="43"/>
      <c r="AE57" s="43"/>
      <c r="AF57" s="43"/>
      <c r="AG57" s="7"/>
      <c r="AH57" s="88"/>
      <c r="AI57" s="88"/>
      <c r="AJ57" s="88"/>
      <c r="AK57" s="88"/>
      <c r="AL57" s="117">
        <v>11</v>
      </c>
    </row>
    <row r="58" spans="1:38" s="117" customFormat="1" ht="11.45" customHeight="1">
      <c r="A58" s="330"/>
      <c r="B58" s="330"/>
      <c r="C58" s="330"/>
      <c r="D58" s="330"/>
      <c r="E58" s="330"/>
      <c r="F58" s="46"/>
      <c r="G58" s="46"/>
      <c r="O58" s="43"/>
      <c r="Q58" s="43"/>
      <c r="R58" s="46"/>
      <c r="S58" s="46"/>
      <c r="T58" s="43"/>
      <c r="U58" s="43"/>
      <c r="V58" s="43"/>
      <c r="W58" s="43"/>
      <c r="X58" s="46"/>
      <c r="Y58" s="43"/>
      <c r="Z58" s="43"/>
      <c r="AA58" s="77"/>
      <c r="AB58" s="43"/>
      <c r="AC58" s="43"/>
      <c r="AD58" s="43"/>
      <c r="AE58" s="43"/>
      <c r="AF58" s="43"/>
      <c r="AG58" s="7"/>
      <c r="AH58" s="88"/>
      <c r="AI58" s="88"/>
      <c r="AJ58" s="88"/>
      <c r="AK58" s="88"/>
      <c r="AL58" s="117">
        <v>11</v>
      </c>
    </row>
    <row r="59" spans="1:38" s="117" customFormat="1" ht="11.45" customHeight="1">
      <c r="A59" s="330"/>
      <c r="B59" s="330"/>
      <c r="C59" s="330"/>
      <c r="D59" s="330"/>
      <c r="E59" s="330"/>
      <c r="F59" s="46"/>
      <c r="G59" s="46"/>
      <c r="O59" s="43"/>
      <c r="Q59" s="43"/>
      <c r="R59" s="46"/>
      <c r="S59" s="46"/>
      <c r="T59" s="43"/>
      <c r="U59" s="43"/>
      <c r="V59" s="43"/>
      <c r="W59" s="43"/>
      <c r="X59" s="46"/>
      <c r="Y59" s="43"/>
      <c r="Z59" s="43"/>
      <c r="AA59" s="77"/>
      <c r="AB59" s="43"/>
      <c r="AC59" s="43"/>
      <c r="AD59" s="43"/>
      <c r="AE59" s="43"/>
      <c r="AF59" s="43"/>
      <c r="AG59" s="7"/>
      <c r="AH59" s="88"/>
      <c r="AI59" s="88"/>
      <c r="AJ59" s="88"/>
      <c r="AK59" s="88"/>
      <c r="AL59" s="117">
        <v>11</v>
      </c>
    </row>
    <row r="60" spans="1:38" s="117" customFormat="1" ht="11.45" customHeight="1">
      <c r="A60" s="330"/>
      <c r="B60" s="330"/>
      <c r="C60" s="330"/>
      <c r="D60" s="330"/>
      <c r="E60" s="330"/>
      <c r="F60" s="46"/>
      <c r="G60" s="46"/>
      <c r="O60" s="43"/>
      <c r="Q60" s="43"/>
      <c r="R60" s="46"/>
      <c r="S60" s="46"/>
      <c r="T60" s="43"/>
      <c r="U60" s="43"/>
      <c r="V60" s="43"/>
      <c r="W60" s="43"/>
      <c r="X60" s="46"/>
      <c r="Y60" s="43"/>
      <c r="Z60" s="43"/>
      <c r="AA60" s="77"/>
      <c r="AB60" s="43"/>
      <c r="AC60" s="43"/>
      <c r="AD60" s="43"/>
      <c r="AE60" s="43"/>
      <c r="AF60" s="43"/>
      <c r="AG60" s="7"/>
      <c r="AH60" s="88"/>
      <c r="AI60" s="88"/>
      <c r="AJ60" s="88"/>
      <c r="AK60" s="88"/>
      <c r="AL60" s="117">
        <v>11</v>
      </c>
    </row>
    <row r="61" spans="1:38" s="117" customFormat="1" ht="11.45" customHeight="1">
      <c r="A61" s="330"/>
      <c r="B61" s="330"/>
      <c r="C61" s="330"/>
      <c r="D61" s="330"/>
      <c r="E61" s="330"/>
      <c r="F61" s="46"/>
      <c r="G61" s="46"/>
      <c r="O61" s="43"/>
      <c r="Q61" s="43"/>
      <c r="R61" s="46"/>
      <c r="S61" s="46"/>
      <c r="T61" s="43"/>
      <c r="U61" s="43"/>
      <c r="V61" s="43"/>
      <c r="W61" s="43"/>
      <c r="X61" s="46"/>
      <c r="Y61" s="43"/>
      <c r="Z61" s="43"/>
      <c r="AA61" s="77"/>
      <c r="AB61" s="43"/>
      <c r="AC61" s="43"/>
      <c r="AD61" s="43"/>
      <c r="AE61" s="43"/>
      <c r="AF61" s="43"/>
      <c r="AG61" s="7"/>
      <c r="AH61" s="88"/>
      <c r="AI61" s="88"/>
      <c r="AJ61" s="88"/>
      <c r="AK61" s="88"/>
      <c r="AL61" s="117">
        <v>11</v>
      </c>
    </row>
    <row r="62" spans="1:38" s="117" customFormat="1" ht="11.45" customHeight="1">
      <c r="A62" s="330"/>
      <c r="B62" s="330"/>
      <c r="C62" s="330"/>
      <c r="D62" s="330"/>
      <c r="E62" s="330"/>
      <c r="F62" s="46"/>
      <c r="G62" s="46"/>
      <c r="O62" s="43"/>
      <c r="Q62" s="43"/>
      <c r="R62" s="46"/>
      <c r="S62" s="46"/>
      <c r="T62" s="43"/>
      <c r="U62" s="43"/>
      <c r="V62" s="43"/>
      <c r="W62" s="43"/>
      <c r="X62" s="46"/>
      <c r="Y62" s="43"/>
      <c r="Z62" s="43"/>
      <c r="AA62" s="77"/>
      <c r="AB62" s="43"/>
      <c r="AC62" s="43"/>
      <c r="AD62" s="43"/>
      <c r="AE62" s="43"/>
      <c r="AF62" s="43"/>
      <c r="AG62" s="7"/>
      <c r="AH62" s="88"/>
      <c r="AI62" s="88"/>
      <c r="AJ62" s="88"/>
      <c r="AK62" s="88"/>
      <c r="AL62" s="117">
        <v>11</v>
      </c>
    </row>
    <row r="63" spans="1:38" s="117" customFormat="1" ht="11.45" customHeight="1">
      <c r="A63" s="330"/>
      <c r="B63" s="330"/>
      <c r="C63" s="330"/>
      <c r="D63" s="330"/>
      <c r="E63" s="330"/>
      <c r="F63" s="46"/>
      <c r="G63" s="46"/>
      <c r="O63" s="43"/>
      <c r="Q63" s="43"/>
      <c r="R63" s="46"/>
      <c r="S63" s="46"/>
      <c r="T63" s="43"/>
      <c r="U63" s="43"/>
      <c r="V63" s="43"/>
      <c r="W63" s="43"/>
      <c r="X63" s="46"/>
      <c r="Y63" s="43"/>
      <c r="Z63" s="43"/>
      <c r="AA63" s="77"/>
      <c r="AB63" s="43"/>
      <c r="AC63" s="43"/>
      <c r="AD63" s="43"/>
      <c r="AE63" s="43"/>
      <c r="AF63" s="43"/>
      <c r="AG63" s="7"/>
      <c r="AH63" s="88"/>
      <c r="AI63" s="88"/>
      <c r="AJ63" s="88"/>
      <c r="AK63" s="88"/>
      <c r="AL63" s="117">
        <v>11</v>
      </c>
    </row>
    <row r="64" spans="1:38" s="117" customFormat="1" ht="11.45" customHeight="1">
      <c r="A64" s="330"/>
      <c r="B64" s="330"/>
      <c r="C64" s="330"/>
      <c r="D64" s="330"/>
      <c r="E64" s="330"/>
      <c r="F64" s="46"/>
      <c r="G64" s="46"/>
      <c r="O64" s="43"/>
      <c r="Q64" s="43"/>
      <c r="R64" s="46"/>
      <c r="S64" s="46"/>
      <c r="T64" s="43"/>
      <c r="U64" s="43"/>
      <c r="V64" s="43"/>
      <c r="W64" s="43"/>
      <c r="X64" s="46"/>
      <c r="Y64" s="43"/>
      <c r="Z64" s="43"/>
      <c r="AA64" s="77"/>
      <c r="AB64" s="43"/>
      <c r="AC64" s="43"/>
      <c r="AD64" s="43"/>
      <c r="AE64" s="43"/>
      <c r="AF64" s="43"/>
      <c r="AG64" s="7"/>
      <c r="AH64" s="88"/>
      <c r="AI64" s="88"/>
      <c r="AJ64" s="88"/>
      <c r="AK64" s="88"/>
      <c r="AL64" s="117">
        <v>11</v>
      </c>
    </row>
    <row r="65" spans="1:38" s="117" customFormat="1" ht="11.45" customHeight="1">
      <c r="A65" s="330"/>
      <c r="B65" s="330"/>
      <c r="C65" s="330"/>
      <c r="D65" s="330"/>
      <c r="E65" s="330"/>
      <c r="F65" s="46"/>
      <c r="G65" s="46"/>
      <c r="O65" s="43"/>
      <c r="Q65" s="43"/>
      <c r="R65" s="46"/>
      <c r="S65" s="46"/>
      <c r="T65" s="43"/>
      <c r="U65" s="43"/>
      <c r="V65" s="43"/>
      <c r="W65" s="43"/>
      <c r="X65" s="46"/>
      <c r="Y65" s="43"/>
      <c r="Z65" s="43"/>
      <c r="AA65" s="77"/>
      <c r="AB65" s="43"/>
      <c r="AC65" s="43"/>
      <c r="AD65" s="43"/>
      <c r="AE65" s="43"/>
      <c r="AF65" s="43"/>
      <c r="AG65" s="7"/>
      <c r="AH65" s="88"/>
      <c r="AI65" s="88"/>
      <c r="AJ65" s="88"/>
      <c r="AK65" s="88"/>
      <c r="AL65" s="117">
        <v>11</v>
      </c>
    </row>
    <row r="66" spans="1:38" s="117" customFormat="1" ht="11.45" customHeight="1">
      <c r="A66" s="330"/>
      <c r="B66" s="330"/>
      <c r="C66" s="330"/>
      <c r="D66" s="330"/>
      <c r="E66" s="330"/>
      <c r="F66" s="46"/>
      <c r="G66" s="46"/>
      <c r="O66" s="43"/>
      <c r="Q66" s="43"/>
      <c r="R66" s="46"/>
      <c r="S66" s="46"/>
      <c r="T66" s="43"/>
      <c r="U66" s="43"/>
      <c r="V66" s="43"/>
      <c r="W66" s="43"/>
      <c r="X66" s="46"/>
      <c r="Y66" s="43"/>
      <c r="Z66" s="43"/>
      <c r="AA66" s="77"/>
      <c r="AB66" s="43"/>
      <c r="AC66" s="43"/>
      <c r="AD66" s="43"/>
      <c r="AE66" s="43"/>
      <c r="AF66" s="43"/>
      <c r="AG66" s="7"/>
      <c r="AH66" s="88"/>
      <c r="AI66" s="88"/>
      <c r="AJ66" s="88"/>
      <c r="AK66" s="88"/>
      <c r="AL66" s="117">
        <v>11</v>
      </c>
    </row>
    <row r="67" spans="1:38" s="117" customFormat="1" ht="11.45" customHeight="1">
      <c r="A67" s="330"/>
      <c r="B67" s="330"/>
      <c r="C67" s="330"/>
      <c r="D67" s="330"/>
      <c r="E67" s="330"/>
      <c r="F67" s="46"/>
      <c r="G67" s="46"/>
      <c r="O67" s="43"/>
      <c r="Q67" s="43"/>
      <c r="R67" s="46"/>
      <c r="S67" s="46"/>
      <c r="T67" s="43"/>
      <c r="U67" s="43"/>
      <c r="V67" s="43"/>
      <c r="W67" s="43"/>
      <c r="X67" s="46"/>
      <c r="Y67" s="43"/>
      <c r="Z67" s="43"/>
      <c r="AA67" s="77"/>
      <c r="AB67" s="43"/>
      <c r="AC67" s="43"/>
      <c r="AD67" s="43"/>
      <c r="AE67" s="43"/>
      <c r="AF67" s="43"/>
      <c r="AG67" s="7"/>
      <c r="AH67" s="88"/>
      <c r="AI67" s="88"/>
      <c r="AJ67" s="88"/>
      <c r="AK67" s="88"/>
      <c r="AL67" s="117">
        <v>11</v>
      </c>
    </row>
    <row r="68" spans="1:38" s="117" customFormat="1" ht="11.45" customHeight="1">
      <c r="A68" s="330"/>
      <c r="B68" s="330"/>
      <c r="C68" s="330"/>
      <c r="D68" s="330"/>
      <c r="E68" s="330"/>
      <c r="F68" s="46"/>
      <c r="G68" s="46"/>
      <c r="O68" s="43"/>
      <c r="Q68" s="43"/>
      <c r="R68" s="46"/>
      <c r="S68" s="46"/>
      <c r="T68" s="43"/>
      <c r="U68" s="43"/>
      <c r="V68" s="43"/>
      <c r="W68" s="43"/>
      <c r="X68" s="46"/>
      <c r="Y68" s="43"/>
      <c r="Z68" s="43"/>
      <c r="AA68" s="77"/>
      <c r="AB68" s="43"/>
      <c r="AC68" s="43"/>
      <c r="AD68" s="43"/>
      <c r="AE68" s="43"/>
      <c r="AF68" s="43"/>
      <c r="AG68" s="7"/>
      <c r="AH68" s="88"/>
      <c r="AI68" s="88"/>
      <c r="AJ68" s="88"/>
      <c r="AK68" s="88"/>
      <c r="AL68" s="117">
        <v>11</v>
      </c>
    </row>
    <row r="69" spans="1:38" s="117" customFormat="1" ht="11.45" customHeight="1">
      <c r="A69" s="330"/>
      <c r="B69" s="330"/>
      <c r="C69" s="330"/>
      <c r="D69" s="330"/>
      <c r="E69" s="330"/>
      <c r="F69" s="46"/>
      <c r="G69" s="46"/>
      <c r="O69" s="43"/>
      <c r="Q69" s="43"/>
      <c r="R69" s="46"/>
      <c r="S69" s="46"/>
      <c r="T69" s="43"/>
      <c r="U69" s="43"/>
      <c r="V69" s="43"/>
      <c r="W69" s="43"/>
      <c r="X69" s="46"/>
      <c r="Y69" s="43"/>
      <c r="Z69" s="43"/>
      <c r="AA69" s="77"/>
      <c r="AB69" s="43"/>
      <c r="AC69" s="43"/>
      <c r="AD69" s="43"/>
      <c r="AE69" s="43"/>
      <c r="AF69" s="43"/>
      <c r="AG69" s="7"/>
      <c r="AH69" s="88"/>
      <c r="AI69" s="88"/>
      <c r="AJ69" s="88"/>
      <c r="AK69" s="88"/>
      <c r="AL69" s="117">
        <v>11</v>
      </c>
    </row>
    <row r="70" spans="1:38" s="117" customFormat="1" ht="11.45" customHeight="1">
      <c r="A70" s="330"/>
      <c r="B70" s="330"/>
      <c r="C70" s="330"/>
      <c r="D70" s="330"/>
      <c r="E70" s="330"/>
      <c r="F70" s="46"/>
      <c r="G70" s="46"/>
      <c r="O70" s="43"/>
      <c r="Q70" s="43"/>
      <c r="R70" s="46"/>
      <c r="S70" s="46"/>
      <c r="T70" s="43"/>
      <c r="U70" s="43"/>
      <c r="V70" s="43"/>
      <c r="W70" s="43"/>
      <c r="X70" s="46"/>
      <c r="Y70" s="43"/>
      <c r="Z70" s="43"/>
      <c r="AA70" s="77"/>
      <c r="AB70" s="43"/>
      <c r="AC70" s="43"/>
      <c r="AD70" s="43"/>
      <c r="AE70" s="43"/>
      <c r="AF70" s="43"/>
      <c r="AG70" s="7"/>
      <c r="AH70" s="88"/>
      <c r="AI70" s="88"/>
      <c r="AJ70" s="88"/>
      <c r="AK70" s="88"/>
      <c r="AL70" s="117">
        <v>11</v>
      </c>
    </row>
    <row r="71" spans="1:38" s="117" customFormat="1" ht="11.45" customHeight="1">
      <c r="A71" s="330"/>
      <c r="B71" s="330"/>
      <c r="C71" s="330"/>
      <c r="D71" s="330"/>
      <c r="E71" s="330"/>
      <c r="F71" s="46"/>
      <c r="G71" s="46"/>
      <c r="O71" s="43"/>
      <c r="Q71" s="43"/>
      <c r="R71" s="46"/>
      <c r="S71" s="46"/>
      <c r="T71" s="43"/>
      <c r="U71" s="43"/>
      <c r="V71" s="43"/>
      <c r="W71" s="43"/>
      <c r="X71" s="46"/>
      <c r="Y71" s="43"/>
      <c r="Z71" s="43"/>
      <c r="AA71" s="77"/>
      <c r="AB71" s="43"/>
      <c r="AC71" s="43"/>
      <c r="AD71" s="43"/>
      <c r="AE71" s="43"/>
      <c r="AF71" s="43"/>
      <c r="AG71" s="7"/>
      <c r="AH71" s="88"/>
      <c r="AI71" s="88"/>
      <c r="AJ71" s="88"/>
      <c r="AK71" s="88"/>
      <c r="AL71" s="117">
        <v>11</v>
      </c>
    </row>
    <row r="72" spans="1:38" s="117" customFormat="1" ht="11.45" customHeight="1">
      <c r="A72" s="330"/>
      <c r="B72" s="330"/>
      <c r="C72" s="330"/>
      <c r="D72" s="330"/>
      <c r="E72" s="330"/>
      <c r="F72" s="46"/>
      <c r="G72" s="46"/>
      <c r="O72" s="43"/>
      <c r="Q72" s="43"/>
      <c r="R72" s="46"/>
      <c r="S72" s="46"/>
      <c r="T72" s="43"/>
      <c r="U72" s="43"/>
      <c r="V72" s="43"/>
      <c r="W72" s="43"/>
      <c r="X72" s="46"/>
      <c r="Y72" s="43"/>
      <c r="Z72" s="43"/>
      <c r="AA72" s="77"/>
      <c r="AB72" s="43"/>
      <c r="AC72" s="43"/>
      <c r="AD72" s="43"/>
      <c r="AE72" s="43"/>
      <c r="AF72" s="43"/>
      <c r="AG72" s="7"/>
      <c r="AH72" s="88"/>
      <c r="AI72" s="88"/>
      <c r="AJ72" s="88"/>
      <c r="AK72" s="88"/>
      <c r="AL72" s="117">
        <v>11</v>
      </c>
    </row>
    <row r="73" spans="1:38" s="117" customFormat="1" ht="11.45" customHeight="1">
      <c r="A73" s="330"/>
      <c r="B73" s="330"/>
      <c r="C73" s="330"/>
      <c r="D73" s="330"/>
      <c r="E73" s="330"/>
      <c r="F73" s="46"/>
      <c r="G73" s="46"/>
      <c r="O73" s="43"/>
      <c r="Q73" s="43"/>
      <c r="R73" s="46"/>
      <c r="S73" s="46"/>
      <c r="T73" s="43"/>
      <c r="U73" s="43"/>
      <c r="V73" s="43"/>
      <c r="W73" s="43"/>
      <c r="X73" s="46"/>
      <c r="Y73" s="43"/>
      <c r="Z73" s="43"/>
      <c r="AA73" s="77"/>
      <c r="AB73" s="43"/>
      <c r="AC73" s="43"/>
      <c r="AD73" s="43"/>
      <c r="AE73" s="43"/>
      <c r="AF73" s="43"/>
      <c r="AG73" s="7"/>
      <c r="AH73" s="88"/>
      <c r="AI73" s="88"/>
      <c r="AJ73" s="88"/>
      <c r="AK73" s="88"/>
      <c r="AL73" s="117">
        <v>11</v>
      </c>
    </row>
    <row r="74" spans="1:38" s="117" customFormat="1" ht="11.45" customHeight="1">
      <c r="A74" s="330"/>
      <c r="B74" s="330"/>
      <c r="C74" s="330"/>
      <c r="D74" s="330"/>
      <c r="E74" s="330"/>
      <c r="F74" s="46"/>
      <c r="G74" s="46"/>
      <c r="O74" s="43"/>
      <c r="Q74" s="43"/>
      <c r="R74" s="46"/>
      <c r="S74" s="46"/>
      <c r="T74" s="43"/>
      <c r="U74" s="43"/>
      <c r="V74" s="43"/>
      <c r="W74" s="43"/>
      <c r="X74" s="46"/>
      <c r="Y74" s="43"/>
      <c r="Z74" s="43"/>
      <c r="AA74" s="77"/>
      <c r="AB74" s="43"/>
      <c r="AC74" s="43"/>
      <c r="AD74" s="43"/>
      <c r="AE74" s="43"/>
      <c r="AF74" s="43"/>
      <c r="AG74" s="7"/>
      <c r="AH74" s="88"/>
      <c r="AI74" s="88"/>
      <c r="AJ74" s="88"/>
      <c r="AK74" s="88"/>
      <c r="AL74" s="117">
        <v>11</v>
      </c>
    </row>
    <row r="75" spans="1:38" s="117" customFormat="1" ht="11.45" customHeight="1">
      <c r="A75" s="330"/>
      <c r="B75" s="330"/>
      <c r="C75" s="330"/>
      <c r="D75" s="330"/>
      <c r="E75" s="330"/>
      <c r="F75" s="46"/>
      <c r="G75" s="46"/>
      <c r="O75" s="43"/>
      <c r="Q75" s="43"/>
      <c r="R75" s="46"/>
      <c r="S75" s="46"/>
      <c r="T75" s="43"/>
      <c r="U75" s="43"/>
      <c r="V75" s="43"/>
      <c r="W75" s="43"/>
      <c r="X75" s="46"/>
      <c r="Y75" s="43"/>
      <c r="Z75" s="43"/>
      <c r="AA75" s="77"/>
      <c r="AB75" s="43"/>
      <c r="AC75" s="43"/>
      <c r="AD75" s="43"/>
      <c r="AE75" s="43"/>
      <c r="AF75" s="43"/>
      <c r="AG75" s="7"/>
      <c r="AH75" s="88"/>
      <c r="AI75" s="88"/>
      <c r="AJ75" s="88"/>
      <c r="AK75" s="88"/>
      <c r="AL75" s="117">
        <v>11</v>
      </c>
    </row>
    <row r="76" spans="1:38" s="117" customFormat="1" ht="11.45" customHeight="1">
      <c r="A76" s="330"/>
      <c r="B76" s="330"/>
      <c r="C76" s="330"/>
      <c r="D76" s="330"/>
      <c r="E76" s="330"/>
      <c r="F76" s="46"/>
      <c r="G76" s="46"/>
      <c r="O76" s="43"/>
      <c r="Q76" s="43"/>
      <c r="R76" s="46"/>
      <c r="S76" s="46"/>
      <c r="T76" s="43"/>
      <c r="U76" s="43"/>
      <c r="V76" s="43"/>
      <c r="W76" s="43"/>
      <c r="X76" s="46"/>
      <c r="Y76" s="43"/>
      <c r="Z76" s="43"/>
      <c r="AA76" s="77"/>
      <c r="AB76" s="43"/>
      <c r="AC76" s="43"/>
      <c r="AD76" s="43"/>
      <c r="AE76" s="43"/>
      <c r="AF76" s="43"/>
      <c r="AG76" s="7"/>
      <c r="AH76" s="88"/>
      <c r="AI76" s="88"/>
      <c r="AJ76" s="88"/>
      <c r="AK76" s="88"/>
      <c r="AL76" s="117">
        <v>11</v>
      </c>
    </row>
    <row r="77" spans="1:38" s="117" customFormat="1" ht="11.45" customHeight="1">
      <c r="A77" s="330"/>
      <c r="B77" s="330"/>
      <c r="C77" s="330"/>
      <c r="D77" s="330"/>
      <c r="E77" s="330"/>
      <c r="F77" s="46"/>
      <c r="G77" s="46"/>
      <c r="O77" s="43"/>
      <c r="Q77" s="43"/>
      <c r="R77" s="46"/>
      <c r="S77" s="46"/>
      <c r="T77" s="43"/>
      <c r="U77" s="43"/>
      <c r="V77" s="43"/>
      <c r="W77" s="43"/>
      <c r="X77" s="46"/>
      <c r="Y77" s="43"/>
      <c r="Z77" s="43"/>
      <c r="AA77" s="77"/>
      <c r="AB77" s="43"/>
      <c r="AC77" s="43"/>
      <c r="AD77" s="43"/>
      <c r="AE77" s="43"/>
      <c r="AF77" s="43"/>
      <c r="AG77" s="7"/>
      <c r="AH77" s="88"/>
      <c r="AI77" s="88"/>
      <c r="AJ77" s="88"/>
      <c r="AK77" s="88"/>
      <c r="AL77" s="117">
        <v>11</v>
      </c>
    </row>
    <row r="78" spans="1:38" s="117" customFormat="1" ht="11.45" customHeight="1">
      <c r="A78" s="330"/>
      <c r="B78" s="330"/>
      <c r="C78" s="330"/>
      <c r="D78" s="330"/>
      <c r="E78" s="330"/>
      <c r="F78" s="46"/>
      <c r="G78" s="46"/>
      <c r="O78" s="43"/>
      <c r="Q78" s="43"/>
      <c r="R78" s="46"/>
      <c r="S78" s="46"/>
      <c r="T78" s="43"/>
      <c r="U78" s="43"/>
      <c r="V78" s="43"/>
      <c r="W78" s="43"/>
      <c r="X78" s="46"/>
      <c r="Y78" s="43"/>
      <c r="Z78" s="43"/>
      <c r="AA78" s="77"/>
      <c r="AB78" s="43"/>
      <c r="AC78" s="43"/>
      <c r="AD78" s="43"/>
      <c r="AE78" s="43"/>
      <c r="AF78" s="43"/>
      <c r="AG78" s="7"/>
      <c r="AH78" s="88"/>
      <c r="AI78" s="88"/>
      <c r="AJ78" s="88"/>
      <c r="AK78" s="88"/>
      <c r="AL78" s="117">
        <v>11</v>
      </c>
    </row>
    <row r="79" spans="1:38" s="117" customFormat="1" ht="11.45" customHeight="1">
      <c r="A79" s="330"/>
      <c r="B79" s="330"/>
      <c r="C79" s="330"/>
      <c r="D79" s="330"/>
      <c r="E79" s="330"/>
      <c r="F79" s="46"/>
      <c r="G79" s="46"/>
      <c r="O79" s="43"/>
      <c r="Q79" s="43"/>
      <c r="R79" s="46"/>
      <c r="S79" s="46"/>
      <c r="T79" s="43"/>
      <c r="U79" s="43"/>
      <c r="V79" s="43"/>
      <c r="W79" s="43"/>
      <c r="X79" s="46"/>
      <c r="Y79" s="43"/>
      <c r="Z79" s="43"/>
      <c r="AA79" s="77"/>
      <c r="AB79" s="43"/>
      <c r="AC79" s="43"/>
      <c r="AD79" s="43"/>
      <c r="AE79" s="43"/>
      <c r="AF79" s="43"/>
      <c r="AG79" s="7"/>
      <c r="AH79" s="88"/>
      <c r="AI79" s="88"/>
      <c r="AJ79" s="88"/>
      <c r="AK79" s="88"/>
      <c r="AL79" s="117">
        <v>11</v>
      </c>
    </row>
    <row r="80" spans="1:38" s="117" customFormat="1" ht="11.45" customHeight="1">
      <c r="A80" s="330"/>
      <c r="B80" s="330"/>
      <c r="C80" s="330"/>
      <c r="D80" s="330"/>
      <c r="E80" s="330"/>
      <c r="F80" s="46"/>
      <c r="G80" s="46"/>
      <c r="O80" s="43"/>
      <c r="Q80" s="43"/>
      <c r="R80" s="46"/>
      <c r="S80" s="46"/>
      <c r="T80" s="43"/>
      <c r="U80" s="43"/>
      <c r="V80" s="43"/>
      <c r="W80" s="43"/>
      <c r="X80" s="46"/>
      <c r="Y80" s="43"/>
      <c r="Z80" s="43"/>
      <c r="AA80" s="77"/>
      <c r="AB80" s="43"/>
      <c r="AC80" s="43"/>
      <c r="AD80" s="43"/>
      <c r="AE80" s="43"/>
      <c r="AF80" s="43"/>
      <c r="AG80" s="7"/>
      <c r="AH80" s="88"/>
      <c r="AI80" s="88"/>
      <c r="AJ80" s="88"/>
      <c r="AK80" s="88"/>
      <c r="AL80" s="117">
        <v>11</v>
      </c>
    </row>
    <row r="81" spans="1:38" s="117" customFormat="1" ht="11.45" customHeight="1">
      <c r="A81" s="330"/>
      <c r="B81" s="330"/>
      <c r="C81" s="330"/>
      <c r="D81" s="330"/>
      <c r="E81" s="330"/>
      <c r="F81" s="46"/>
      <c r="G81" s="46"/>
      <c r="O81" s="43"/>
      <c r="Q81" s="43"/>
      <c r="R81" s="46"/>
      <c r="S81" s="46"/>
      <c r="T81" s="43"/>
      <c r="U81" s="43"/>
      <c r="V81" s="43"/>
      <c r="W81" s="43"/>
      <c r="X81" s="46"/>
      <c r="Y81" s="43"/>
      <c r="Z81" s="43"/>
      <c r="AA81" s="77"/>
      <c r="AB81" s="43"/>
      <c r="AC81" s="43"/>
      <c r="AD81" s="43"/>
      <c r="AE81" s="43"/>
      <c r="AF81" s="43"/>
      <c r="AG81" s="7"/>
      <c r="AH81" s="88"/>
      <c r="AI81" s="88"/>
      <c r="AJ81" s="88"/>
      <c r="AK81" s="88"/>
      <c r="AL81" s="117">
        <v>11</v>
      </c>
    </row>
    <row r="82" spans="1:38" s="117" customFormat="1" ht="11.45" customHeight="1">
      <c r="A82" s="330"/>
      <c r="B82" s="330"/>
      <c r="C82" s="330"/>
      <c r="D82" s="330"/>
      <c r="E82" s="330"/>
      <c r="F82" s="46"/>
      <c r="G82" s="46"/>
      <c r="O82" s="43"/>
      <c r="Q82" s="43"/>
      <c r="R82" s="46"/>
      <c r="S82" s="46"/>
      <c r="T82" s="43"/>
      <c r="U82" s="43"/>
      <c r="V82" s="43"/>
      <c r="W82" s="43"/>
      <c r="X82" s="46"/>
      <c r="Y82" s="43"/>
      <c r="Z82" s="43"/>
      <c r="AA82" s="77"/>
      <c r="AB82" s="43"/>
      <c r="AC82" s="43"/>
      <c r="AD82" s="43"/>
      <c r="AE82" s="43"/>
      <c r="AF82" s="43"/>
      <c r="AG82" s="7"/>
      <c r="AH82" s="88"/>
      <c r="AI82" s="88"/>
      <c r="AJ82" s="88"/>
      <c r="AK82" s="88"/>
      <c r="AL82" s="117">
        <v>11</v>
      </c>
    </row>
    <row r="83" spans="1:38" s="117" customFormat="1" ht="11.45" customHeight="1">
      <c r="A83" s="330"/>
      <c r="B83" s="330"/>
      <c r="C83" s="330"/>
      <c r="D83" s="330"/>
      <c r="E83" s="330"/>
      <c r="F83" s="46"/>
      <c r="G83" s="46"/>
      <c r="O83" s="43"/>
      <c r="Q83" s="43"/>
      <c r="R83" s="46"/>
      <c r="S83" s="46"/>
      <c r="T83" s="43"/>
      <c r="U83" s="43"/>
      <c r="V83" s="43"/>
      <c r="W83" s="43"/>
      <c r="X83" s="46"/>
      <c r="Y83" s="43"/>
      <c r="Z83" s="43"/>
      <c r="AA83" s="77"/>
      <c r="AB83" s="43"/>
      <c r="AC83" s="43"/>
      <c r="AD83" s="43"/>
      <c r="AE83" s="43"/>
      <c r="AF83" s="43"/>
      <c r="AG83" s="7"/>
      <c r="AH83" s="88"/>
      <c r="AI83" s="88"/>
      <c r="AJ83" s="88"/>
      <c r="AK83" s="88"/>
      <c r="AL83" s="117">
        <v>11</v>
      </c>
    </row>
    <row r="84" spans="1:38" s="117" customFormat="1" ht="11.45" customHeight="1">
      <c r="A84" s="330"/>
      <c r="B84" s="330"/>
      <c r="C84" s="330"/>
      <c r="D84" s="330"/>
      <c r="E84" s="330"/>
      <c r="F84" s="46"/>
      <c r="G84" s="46"/>
      <c r="O84" s="43"/>
      <c r="Q84" s="43"/>
      <c r="R84" s="46"/>
      <c r="S84" s="46"/>
      <c r="T84" s="43"/>
      <c r="U84" s="43"/>
      <c r="V84" s="43"/>
      <c r="W84" s="43"/>
      <c r="X84" s="46"/>
      <c r="Y84" s="43"/>
      <c r="Z84" s="43"/>
      <c r="AA84" s="77"/>
      <c r="AB84" s="43"/>
      <c r="AC84" s="43"/>
      <c r="AD84" s="43"/>
      <c r="AE84" s="43"/>
      <c r="AF84" s="43"/>
      <c r="AG84" s="7"/>
      <c r="AH84" s="88"/>
      <c r="AI84" s="88"/>
      <c r="AJ84" s="88"/>
      <c r="AK84" s="88"/>
      <c r="AL84" s="117">
        <v>11</v>
      </c>
    </row>
    <row r="85" spans="1:38" s="117" customFormat="1" ht="11.45" customHeight="1">
      <c r="A85" s="330"/>
      <c r="B85" s="330"/>
      <c r="C85" s="330"/>
      <c r="D85" s="330"/>
      <c r="E85" s="330"/>
      <c r="F85" s="46"/>
      <c r="G85" s="46"/>
      <c r="O85" s="43"/>
      <c r="Q85" s="43"/>
      <c r="R85" s="46"/>
      <c r="S85" s="46"/>
      <c r="T85" s="43"/>
      <c r="U85" s="43"/>
      <c r="V85" s="43"/>
      <c r="W85" s="43"/>
      <c r="X85" s="46"/>
      <c r="Y85" s="43"/>
      <c r="Z85" s="43"/>
      <c r="AA85" s="77"/>
      <c r="AB85" s="43"/>
      <c r="AC85" s="43"/>
      <c r="AD85" s="43"/>
      <c r="AE85" s="43"/>
      <c r="AF85" s="43"/>
      <c r="AG85" s="7"/>
      <c r="AH85" s="88"/>
      <c r="AI85" s="88"/>
      <c r="AJ85" s="88"/>
      <c r="AK85" s="88"/>
      <c r="AL85" s="117">
        <v>11</v>
      </c>
    </row>
    <row r="86" spans="1:38" s="117" customFormat="1" ht="11.45" customHeight="1">
      <c r="A86" s="330"/>
      <c r="B86" s="330"/>
      <c r="C86" s="330"/>
      <c r="D86" s="330"/>
      <c r="E86" s="330"/>
      <c r="F86" s="46"/>
      <c r="G86" s="46"/>
      <c r="O86" s="43"/>
      <c r="Q86" s="43"/>
      <c r="R86" s="46"/>
      <c r="S86" s="46"/>
      <c r="T86" s="43"/>
      <c r="U86" s="43"/>
      <c r="V86" s="43"/>
      <c r="W86" s="43"/>
      <c r="X86" s="46"/>
      <c r="Y86" s="43"/>
      <c r="Z86" s="43"/>
      <c r="AA86" s="77"/>
      <c r="AB86" s="43"/>
      <c r="AC86" s="43"/>
      <c r="AD86" s="43"/>
      <c r="AE86" s="43"/>
      <c r="AF86" s="43"/>
      <c r="AG86" s="7"/>
      <c r="AH86" s="88"/>
      <c r="AI86" s="88"/>
      <c r="AJ86" s="88"/>
      <c r="AK86" s="88"/>
      <c r="AL86" s="117">
        <v>11</v>
      </c>
    </row>
    <row r="87" spans="1:38" s="117" customFormat="1" ht="11.45" customHeight="1">
      <c r="A87" s="330"/>
      <c r="B87" s="330"/>
      <c r="C87" s="330"/>
      <c r="D87" s="330"/>
      <c r="E87" s="330"/>
      <c r="F87" s="46"/>
      <c r="G87" s="46"/>
      <c r="O87" s="43"/>
      <c r="Q87" s="43"/>
      <c r="R87" s="46"/>
      <c r="S87" s="46"/>
      <c r="T87" s="43"/>
      <c r="U87" s="43"/>
      <c r="V87" s="43"/>
      <c r="W87" s="43"/>
      <c r="X87" s="46"/>
      <c r="Y87" s="43"/>
      <c r="Z87" s="43"/>
      <c r="AA87" s="77"/>
      <c r="AB87" s="43"/>
      <c r="AC87" s="43"/>
      <c r="AD87" s="43"/>
      <c r="AE87" s="43"/>
      <c r="AF87" s="43"/>
      <c r="AG87" s="7"/>
      <c r="AH87" s="88"/>
      <c r="AI87" s="88"/>
      <c r="AJ87" s="88"/>
      <c r="AK87" s="88"/>
      <c r="AL87" s="117">
        <v>11</v>
      </c>
    </row>
    <row r="88" spans="1:38" s="117" customFormat="1" ht="11.45" customHeight="1">
      <c r="A88" s="330"/>
      <c r="B88" s="330"/>
      <c r="C88" s="330"/>
      <c r="D88" s="330"/>
      <c r="E88" s="330"/>
      <c r="F88" s="46"/>
      <c r="G88" s="46"/>
      <c r="O88" s="43"/>
      <c r="Q88" s="43"/>
      <c r="R88" s="46"/>
      <c r="S88" s="46"/>
      <c r="T88" s="43"/>
      <c r="U88" s="43"/>
      <c r="V88" s="43"/>
      <c r="W88" s="43"/>
      <c r="X88" s="46"/>
      <c r="Y88" s="43"/>
      <c r="Z88" s="43"/>
      <c r="AA88" s="77"/>
      <c r="AB88" s="43"/>
      <c r="AC88" s="43"/>
      <c r="AD88" s="43"/>
      <c r="AE88" s="43"/>
      <c r="AF88" s="43"/>
      <c r="AG88" s="7"/>
      <c r="AH88" s="88"/>
      <c r="AI88" s="88"/>
      <c r="AJ88" s="88"/>
      <c r="AK88" s="88"/>
      <c r="AL88" s="117">
        <v>11</v>
      </c>
    </row>
    <row r="89" spans="1:38" s="117" customFormat="1" ht="11.45" customHeight="1">
      <c r="A89" s="330"/>
      <c r="B89" s="330"/>
      <c r="C89" s="330"/>
      <c r="D89" s="330"/>
      <c r="E89" s="330"/>
      <c r="F89" s="46"/>
      <c r="G89" s="46"/>
      <c r="O89" s="43"/>
      <c r="Q89" s="43"/>
      <c r="R89" s="46"/>
      <c r="S89" s="46"/>
      <c r="T89" s="43"/>
      <c r="U89" s="43"/>
      <c r="V89" s="43"/>
      <c r="W89" s="43"/>
      <c r="X89" s="46"/>
      <c r="Y89" s="43"/>
      <c r="Z89" s="43"/>
      <c r="AA89" s="77"/>
      <c r="AB89" s="43"/>
      <c r="AC89" s="43"/>
      <c r="AD89" s="43"/>
      <c r="AE89" s="43"/>
      <c r="AF89" s="43"/>
      <c r="AG89" s="7"/>
      <c r="AH89" s="88"/>
      <c r="AI89" s="88"/>
      <c r="AJ89" s="88"/>
      <c r="AK89" s="88"/>
      <c r="AL89" s="117">
        <v>11</v>
      </c>
    </row>
    <row r="90" spans="1:38" s="117" customFormat="1" ht="11.45" customHeight="1">
      <c r="A90" s="330"/>
      <c r="B90" s="330"/>
      <c r="C90" s="330"/>
      <c r="D90" s="330"/>
      <c r="E90" s="330"/>
      <c r="F90" s="46"/>
      <c r="G90" s="46"/>
      <c r="O90" s="43"/>
      <c r="Q90" s="43"/>
      <c r="R90" s="46"/>
      <c r="S90" s="46"/>
      <c r="T90" s="43"/>
      <c r="U90" s="43"/>
      <c r="V90" s="43"/>
      <c r="W90" s="43"/>
      <c r="X90" s="46"/>
      <c r="Y90" s="43"/>
      <c r="Z90" s="43"/>
      <c r="AA90" s="77"/>
      <c r="AB90" s="43"/>
      <c r="AC90" s="43"/>
      <c r="AD90" s="43"/>
      <c r="AE90" s="43"/>
      <c r="AF90" s="43"/>
      <c r="AG90" s="7"/>
      <c r="AH90" s="88"/>
      <c r="AI90" s="88"/>
      <c r="AJ90" s="88"/>
      <c r="AK90" s="88"/>
      <c r="AL90" s="117">
        <v>11</v>
      </c>
    </row>
    <row r="91" spans="1:38" s="117" customFormat="1" ht="11.45" customHeight="1">
      <c r="A91" s="330"/>
      <c r="B91" s="330"/>
      <c r="C91" s="330"/>
      <c r="D91" s="330"/>
      <c r="E91" s="330"/>
      <c r="F91" s="46"/>
      <c r="G91" s="46"/>
      <c r="O91" s="43"/>
      <c r="Q91" s="43"/>
      <c r="R91" s="46"/>
      <c r="S91" s="46"/>
      <c r="T91" s="43"/>
      <c r="U91" s="43"/>
      <c r="V91" s="43"/>
      <c r="W91" s="43"/>
      <c r="X91" s="46"/>
      <c r="Y91" s="43"/>
      <c r="Z91" s="43"/>
      <c r="AA91" s="77"/>
      <c r="AB91" s="43"/>
      <c r="AC91" s="43"/>
      <c r="AD91" s="43"/>
      <c r="AE91" s="43"/>
      <c r="AF91" s="43"/>
      <c r="AG91" s="7"/>
      <c r="AH91" s="88"/>
      <c r="AI91" s="88"/>
      <c r="AJ91" s="88"/>
      <c r="AK91" s="88"/>
      <c r="AL91" s="117">
        <v>11</v>
      </c>
    </row>
    <row r="92" spans="1:38" s="117" customFormat="1" ht="11.45" customHeight="1">
      <c r="A92" s="330"/>
      <c r="B92" s="330"/>
      <c r="C92" s="330"/>
      <c r="D92" s="330"/>
      <c r="E92" s="330"/>
      <c r="F92" s="46"/>
      <c r="G92" s="46"/>
      <c r="O92" s="43"/>
      <c r="Q92" s="43"/>
      <c r="R92" s="46"/>
      <c r="S92" s="46"/>
      <c r="T92" s="43"/>
      <c r="U92" s="43"/>
      <c r="V92" s="43"/>
      <c r="W92" s="43"/>
      <c r="X92" s="46"/>
      <c r="Y92" s="43"/>
      <c r="Z92" s="43"/>
      <c r="AA92" s="77"/>
      <c r="AB92" s="43"/>
      <c r="AC92" s="43"/>
      <c r="AD92" s="43"/>
      <c r="AE92" s="43"/>
      <c r="AF92" s="43"/>
      <c r="AG92" s="7"/>
      <c r="AH92" s="88"/>
      <c r="AI92" s="88"/>
      <c r="AJ92" s="88"/>
      <c r="AK92" s="88"/>
      <c r="AL92" s="117">
        <v>11</v>
      </c>
    </row>
    <row r="93" spans="1:38" s="117" customFormat="1" ht="11.45" customHeight="1">
      <c r="A93" s="330"/>
      <c r="B93" s="330"/>
      <c r="C93" s="330"/>
      <c r="D93" s="330"/>
      <c r="E93" s="330"/>
      <c r="F93" s="46"/>
      <c r="G93" s="46"/>
      <c r="O93" s="43"/>
      <c r="Q93" s="43"/>
      <c r="R93" s="46"/>
      <c r="S93" s="46"/>
      <c r="T93" s="43"/>
      <c r="U93" s="43"/>
      <c r="V93" s="43"/>
      <c r="W93" s="43"/>
      <c r="X93" s="46"/>
      <c r="Y93" s="43"/>
      <c r="Z93" s="43"/>
      <c r="AA93" s="77"/>
      <c r="AB93" s="43"/>
      <c r="AC93" s="43"/>
      <c r="AD93" s="43"/>
      <c r="AE93" s="43"/>
      <c r="AF93" s="43"/>
      <c r="AG93" s="7"/>
      <c r="AH93" s="88"/>
      <c r="AI93" s="88"/>
      <c r="AJ93" s="88"/>
      <c r="AK93" s="88"/>
      <c r="AL93" s="117">
        <v>11</v>
      </c>
    </row>
    <row r="94" spans="1:38" s="117" customFormat="1" ht="11.45" customHeight="1">
      <c r="A94" s="330"/>
      <c r="B94" s="330"/>
      <c r="C94" s="330"/>
      <c r="D94" s="330"/>
      <c r="E94" s="330"/>
      <c r="F94" s="46"/>
      <c r="G94" s="46"/>
      <c r="O94" s="43"/>
      <c r="Q94" s="43"/>
      <c r="R94" s="46"/>
      <c r="S94" s="46"/>
      <c r="T94" s="43"/>
      <c r="U94" s="43"/>
      <c r="V94" s="43"/>
      <c r="W94" s="43"/>
      <c r="X94" s="46"/>
      <c r="Y94" s="43"/>
      <c r="Z94" s="43"/>
      <c r="AA94" s="77"/>
      <c r="AB94" s="43"/>
      <c r="AC94" s="43"/>
      <c r="AD94" s="43"/>
      <c r="AE94" s="43"/>
      <c r="AF94" s="43"/>
      <c r="AG94" s="7"/>
      <c r="AH94" s="88"/>
      <c r="AI94" s="88"/>
      <c r="AJ94" s="88"/>
      <c r="AK94" s="88"/>
      <c r="AL94" s="117">
        <v>11</v>
      </c>
    </row>
    <row r="95" spans="1:38" s="117" customFormat="1" ht="11.45" customHeight="1">
      <c r="A95" s="330"/>
      <c r="B95" s="330"/>
      <c r="C95" s="330"/>
      <c r="D95" s="330"/>
      <c r="E95" s="330"/>
      <c r="F95" s="46"/>
      <c r="G95" s="46"/>
      <c r="O95" s="43"/>
      <c r="Q95" s="43"/>
      <c r="R95" s="46"/>
      <c r="S95" s="46"/>
      <c r="T95" s="43"/>
      <c r="U95" s="43"/>
      <c r="V95" s="43"/>
      <c r="W95" s="43"/>
      <c r="X95" s="46"/>
      <c r="Y95" s="43"/>
      <c r="Z95" s="43"/>
      <c r="AA95" s="77"/>
      <c r="AB95" s="43"/>
      <c r="AC95" s="43"/>
      <c r="AD95" s="43"/>
      <c r="AE95" s="43"/>
      <c r="AF95" s="43"/>
      <c r="AG95" s="7"/>
      <c r="AH95" s="88"/>
      <c r="AI95" s="88"/>
      <c r="AJ95" s="88"/>
      <c r="AK95" s="88"/>
      <c r="AL95" s="117">
        <v>11</v>
      </c>
    </row>
    <row r="96" spans="1:38" s="117" customFormat="1" ht="11.45" customHeight="1">
      <c r="A96" s="330"/>
      <c r="B96" s="330"/>
      <c r="C96" s="330"/>
      <c r="D96" s="330"/>
      <c r="E96" s="330"/>
      <c r="F96" s="46"/>
      <c r="G96" s="46"/>
      <c r="O96" s="43"/>
      <c r="Q96" s="43"/>
      <c r="R96" s="46"/>
      <c r="S96" s="46"/>
      <c r="T96" s="43"/>
      <c r="U96" s="43"/>
      <c r="V96" s="43"/>
      <c r="W96" s="43"/>
      <c r="X96" s="46"/>
      <c r="Y96" s="43"/>
      <c r="Z96" s="43"/>
      <c r="AA96" s="77"/>
      <c r="AB96" s="43"/>
      <c r="AC96" s="43"/>
      <c r="AD96" s="43"/>
      <c r="AE96" s="43"/>
      <c r="AF96" s="43"/>
      <c r="AG96" s="7"/>
      <c r="AH96" s="88"/>
      <c r="AI96" s="88"/>
      <c r="AJ96" s="88"/>
      <c r="AK96" s="88"/>
      <c r="AL96" s="117">
        <v>11</v>
      </c>
    </row>
    <row r="97" spans="1:38" s="117" customFormat="1" ht="11.45" customHeight="1">
      <c r="A97" s="330"/>
      <c r="B97" s="330"/>
      <c r="C97" s="330"/>
      <c r="D97" s="330"/>
      <c r="E97" s="330"/>
      <c r="F97" s="46"/>
      <c r="G97" s="46"/>
      <c r="O97" s="43"/>
      <c r="Q97" s="43"/>
      <c r="R97" s="46"/>
      <c r="S97" s="46"/>
      <c r="T97" s="43"/>
      <c r="U97" s="43"/>
      <c r="V97" s="43"/>
      <c r="W97" s="43"/>
      <c r="X97" s="46"/>
      <c r="Y97" s="43"/>
      <c r="Z97" s="43"/>
      <c r="AA97" s="77"/>
      <c r="AB97" s="43"/>
      <c r="AC97" s="43"/>
      <c r="AD97" s="43"/>
      <c r="AE97" s="43"/>
      <c r="AF97" s="43"/>
      <c r="AG97" s="7"/>
      <c r="AH97" s="88"/>
      <c r="AI97" s="88"/>
      <c r="AJ97" s="88"/>
      <c r="AK97" s="88"/>
      <c r="AL97" s="117">
        <v>11</v>
      </c>
    </row>
    <row r="98" spans="1:38" s="117" customFormat="1" ht="11.45" customHeight="1">
      <c r="A98" s="330"/>
      <c r="B98" s="330"/>
      <c r="C98" s="330"/>
      <c r="D98" s="330"/>
      <c r="E98" s="330"/>
      <c r="F98" s="46"/>
      <c r="G98" s="46"/>
      <c r="O98" s="43"/>
      <c r="Q98" s="43"/>
      <c r="R98" s="46"/>
      <c r="S98" s="46"/>
      <c r="T98" s="43"/>
      <c r="U98" s="43"/>
      <c r="V98" s="43"/>
      <c r="W98" s="43"/>
      <c r="X98" s="46"/>
      <c r="Y98" s="43"/>
      <c r="Z98" s="43"/>
      <c r="AA98" s="77"/>
      <c r="AB98" s="43"/>
      <c r="AC98" s="43"/>
      <c r="AD98" s="43"/>
      <c r="AE98" s="43"/>
      <c r="AF98" s="43"/>
      <c r="AG98" s="7"/>
      <c r="AH98" s="88"/>
      <c r="AI98" s="88"/>
      <c r="AJ98" s="88"/>
      <c r="AK98" s="88"/>
      <c r="AL98" s="117">
        <v>11</v>
      </c>
    </row>
    <row r="99" spans="1:38" s="117" customFormat="1" ht="11.45" customHeight="1">
      <c r="A99" s="330"/>
      <c r="B99" s="330"/>
      <c r="C99" s="330"/>
      <c r="D99" s="330"/>
      <c r="E99" s="330"/>
      <c r="F99" s="46"/>
      <c r="G99" s="46"/>
      <c r="O99" s="43"/>
      <c r="Q99" s="43"/>
      <c r="R99" s="46"/>
      <c r="S99" s="46"/>
      <c r="T99" s="43"/>
      <c r="U99" s="43"/>
      <c r="V99" s="43"/>
      <c r="W99" s="43"/>
      <c r="X99" s="46"/>
      <c r="Y99" s="43"/>
      <c r="Z99" s="43"/>
      <c r="AA99" s="77"/>
      <c r="AB99" s="43"/>
      <c r="AC99" s="43"/>
      <c r="AD99" s="43"/>
      <c r="AE99" s="43"/>
      <c r="AF99" s="43"/>
      <c r="AG99" s="7"/>
      <c r="AH99" s="88"/>
      <c r="AI99" s="88"/>
      <c r="AJ99" s="88"/>
      <c r="AK99" s="88"/>
      <c r="AL99" s="117">
        <v>11</v>
      </c>
    </row>
    <row r="100" spans="1:38" s="117" customFormat="1" ht="11.45" customHeight="1">
      <c r="A100" s="330"/>
      <c r="B100" s="330"/>
      <c r="C100" s="330"/>
      <c r="D100" s="330"/>
      <c r="E100" s="330"/>
      <c r="F100" s="46"/>
      <c r="G100" s="46"/>
      <c r="O100" s="43"/>
      <c r="Q100" s="43"/>
      <c r="R100" s="46"/>
      <c r="S100" s="46"/>
      <c r="T100" s="43"/>
      <c r="U100" s="43"/>
      <c r="V100" s="43"/>
      <c r="W100" s="43"/>
      <c r="X100" s="46"/>
      <c r="Y100" s="43"/>
      <c r="Z100" s="43"/>
      <c r="AA100" s="77"/>
      <c r="AB100" s="43"/>
      <c r="AC100" s="43"/>
      <c r="AD100" s="43"/>
      <c r="AE100" s="43"/>
      <c r="AF100" s="43"/>
      <c r="AG100" s="7"/>
      <c r="AH100" s="88"/>
      <c r="AI100" s="88"/>
      <c r="AJ100" s="88"/>
      <c r="AK100" s="88"/>
      <c r="AL100" s="117">
        <v>11</v>
      </c>
    </row>
    <row r="101" spans="1:38" s="117" customFormat="1" ht="11.45" customHeight="1">
      <c r="A101" s="330"/>
      <c r="B101" s="330"/>
      <c r="C101" s="330"/>
      <c r="D101" s="330"/>
      <c r="E101" s="330"/>
      <c r="F101" s="46"/>
      <c r="G101" s="46"/>
      <c r="O101" s="43"/>
      <c r="Q101" s="43"/>
      <c r="R101" s="46"/>
      <c r="S101" s="46"/>
      <c r="T101" s="43"/>
      <c r="U101" s="43"/>
      <c r="V101" s="43"/>
      <c r="W101" s="43"/>
      <c r="X101" s="46"/>
      <c r="Y101" s="43"/>
      <c r="Z101" s="43"/>
      <c r="AA101" s="77"/>
      <c r="AB101" s="43"/>
      <c r="AC101" s="43"/>
      <c r="AD101" s="43"/>
      <c r="AE101" s="43"/>
      <c r="AF101" s="43"/>
      <c r="AG101" s="7"/>
      <c r="AH101" s="88"/>
      <c r="AI101" s="88"/>
      <c r="AJ101" s="88"/>
      <c r="AK101" s="88"/>
      <c r="AL101" s="117">
        <v>11</v>
      </c>
    </row>
    <row r="102" spans="1:38" s="117" customFormat="1" ht="11.45" customHeight="1">
      <c r="A102" s="330"/>
      <c r="B102" s="330"/>
      <c r="C102" s="330"/>
      <c r="D102" s="330"/>
      <c r="E102" s="330"/>
      <c r="F102" s="46"/>
      <c r="G102" s="46"/>
      <c r="O102" s="43"/>
      <c r="Q102" s="43"/>
      <c r="R102" s="46"/>
      <c r="S102" s="46"/>
      <c r="T102" s="43"/>
      <c r="U102" s="43"/>
      <c r="V102" s="43"/>
      <c r="W102" s="43"/>
      <c r="X102" s="46"/>
      <c r="Y102" s="43"/>
      <c r="Z102" s="43"/>
      <c r="AA102" s="77"/>
      <c r="AB102" s="43"/>
      <c r="AC102" s="43"/>
      <c r="AD102" s="43"/>
      <c r="AE102" s="43"/>
      <c r="AF102" s="43"/>
      <c r="AG102" s="7"/>
      <c r="AH102" s="88"/>
      <c r="AI102" s="88"/>
      <c r="AJ102" s="88"/>
      <c r="AK102" s="88"/>
      <c r="AL102" s="117">
        <v>11</v>
      </c>
    </row>
    <row r="103" spans="1:38" s="117" customFormat="1" ht="11.45" customHeight="1">
      <c r="A103" s="330"/>
      <c r="B103" s="330"/>
      <c r="C103" s="330"/>
      <c r="D103" s="330"/>
      <c r="E103" s="330"/>
      <c r="F103" s="46"/>
      <c r="G103" s="46"/>
      <c r="O103" s="43"/>
      <c r="Q103" s="43"/>
      <c r="R103" s="46"/>
      <c r="S103" s="46"/>
      <c r="T103" s="43"/>
      <c r="U103" s="43"/>
      <c r="V103" s="43"/>
      <c r="W103" s="43"/>
      <c r="X103" s="46"/>
      <c r="Y103" s="43"/>
      <c r="Z103" s="43"/>
      <c r="AA103" s="77"/>
      <c r="AB103" s="43"/>
      <c r="AC103" s="43"/>
      <c r="AD103" s="43"/>
      <c r="AE103" s="43"/>
      <c r="AF103" s="43"/>
      <c r="AG103" s="7"/>
      <c r="AH103" s="88"/>
      <c r="AI103" s="88"/>
      <c r="AJ103" s="88"/>
      <c r="AK103" s="88"/>
      <c r="AL103" s="117">
        <v>11</v>
      </c>
    </row>
    <row r="104" spans="1:38" s="117" customFormat="1" ht="11.45" customHeight="1">
      <c r="A104" s="330"/>
      <c r="B104" s="330"/>
      <c r="C104" s="330"/>
      <c r="D104" s="330"/>
      <c r="E104" s="330"/>
      <c r="F104" s="46"/>
      <c r="G104" s="46"/>
      <c r="O104" s="43"/>
      <c r="Q104" s="43"/>
      <c r="R104" s="46"/>
      <c r="S104" s="46"/>
      <c r="T104" s="43"/>
      <c r="U104" s="43"/>
      <c r="V104" s="43"/>
      <c r="W104" s="43"/>
      <c r="X104" s="46"/>
      <c r="Y104" s="43"/>
      <c r="Z104" s="43"/>
      <c r="AA104" s="77"/>
      <c r="AB104" s="43"/>
      <c r="AC104" s="43"/>
      <c r="AD104" s="43"/>
      <c r="AE104" s="43"/>
      <c r="AF104" s="43"/>
      <c r="AG104" s="7"/>
      <c r="AH104" s="88"/>
      <c r="AI104" s="88"/>
      <c r="AJ104" s="88"/>
      <c r="AK104" s="88"/>
      <c r="AL104" s="117">
        <v>11</v>
      </c>
    </row>
    <row r="105" spans="1:38" s="117" customFormat="1" ht="11.45" customHeight="1">
      <c r="A105" s="330"/>
      <c r="B105" s="330"/>
      <c r="C105" s="330"/>
      <c r="D105" s="330"/>
      <c r="E105" s="330"/>
      <c r="F105" s="46"/>
      <c r="G105" s="46"/>
      <c r="O105" s="43"/>
      <c r="Q105" s="43"/>
      <c r="R105" s="46"/>
      <c r="S105" s="46"/>
      <c r="T105" s="43"/>
      <c r="U105" s="43"/>
      <c r="V105" s="43"/>
      <c r="W105" s="43"/>
      <c r="X105" s="46"/>
      <c r="Y105" s="43"/>
      <c r="Z105" s="43"/>
      <c r="AA105" s="77"/>
      <c r="AB105" s="43"/>
      <c r="AC105" s="43"/>
      <c r="AD105" s="43"/>
      <c r="AE105" s="43"/>
      <c r="AF105" s="43"/>
      <c r="AG105" s="7"/>
      <c r="AH105" s="88"/>
      <c r="AI105" s="88"/>
      <c r="AJ105" s="88"/>
      <c r="AK105" s="88"/>
      <c r="AL105" s="117">
        <v>11</v>
      </c>
    </row>
    <row r="106" spans="1:38" s="117" customFormat="1" ht="11.45" customHeight="1">
      <c r="A106" s="330"/>
      <c r="B106" s="330"/>
      <c r="C106" s="330"/>
      <c r="D106" s="330"/>
      <c r="E106" s="330"/>
      <c r="F106" s="46"/>
      <c r="G106" s="46"/>
      <c r="O106" s="43"/>
      <c r="Q106" s="43"/>
      <c r="R106" s="46"/>
      <c r="S106" s="46"/>
      <c r="T106" s="43"/>
      <c r="U106" s="43"/>
      <c r="V106" s="43"/>
      <c r="W106" s="43"/>
      <c r="X106" s="46"/>
      <c r="Y106" s="43"/>
      <c r="Z106" s="43"/>
      <c r="AA106" s="77"/>
      <c r="AB106" s="43"/>
      <c r="AC106" s="43"/>
      <c r="AD106" s="43"/>
      <c r="AE106" s="43"/>
      <c r="AF106" s="43"/>
      <c r="AG106" s="7"/>
      <c r="AH106" s="88"/>
      <c r="AI106" s="88"/>
      <c r="AJ106" s="88"/>
      <c r="AK106" s="88"/>
      <c r="AL106" s="117">
        <v>11</v>
      </c>
    </row>
    <row r="107" spans="1:38" s="117" customFormat="1" ht="11.45" customHeight="1">
      <c r="A107" s="330"/>
      <c r="B107" s="330"/>
      <c r="C107" s="330"/>
      <c r="D107" s="330"/>
      <c r="E107" s="330"/>
      <c r="F107" s="46"/>
      <c r="G107" s="46"/>
      <c r="O107" s="43"/>
      <c r="Q107" s="43"/>
      <c r="R107" s="46"/>
      <c r="S107" s="46"/>
      <c r="T107" s="43"/>
      <c r="U107" s="43"/>
      <c r="V107" s="43"/>
      <c r="W107" s="43"/>
      <c r="X107" s="46"/>
      <c r="Y107" s="43"/>
      <c r="Z107" s="43"/>
      <c r="AA107" s="77"/>
      <c r="AB107" s="43"/>
      <c r="AC107" s="43"/>
      <c r="AD107" s="43"/>
      <c r="AE107" s="43"/>
      <c r="AF107" s="43"/>
      <c r="AG107" s="7"/>
      <c r="AH107" s="88"/>
      <c r="AI107" s="88"/>
      <c r="AJ107" s="88"/>
      <c r="AK107" s="88"/>
      <c r="AL107" s="117">
        <v>11</v>
      </c>
    </row>
    <row r="108" spans="1:38" s="117" customFormat="1" ht="11.45" customHeight="1">
      <c r="A108" s="330"/>
      <c r="B108" s="330"/>
      <c r="C108" s="330"/>
      <c r="D108" s="330"/>
      <c r="E108" s="330"/>
      <c r="F108" s="46"/>
      <c r="G108" s="46"/>
      <c r="O108" s="43"/>
      <c r="Q108" s="43"/>
      <c r="R108" s="46"/>
      <c r="S108" s="46"/>
      <c r="T108" s="43"/>
      <c r="U108" s="43"/>
      <c r="V108" s="43"/>
      <c r="W108" s="43"/>
      <c r="X108" s="46"/>
      <c r="Y108" s="43"/>
      <c r="Z108" s="43"/>
      <c r="AA108" s="77"/>
      <c r="AB108" s="43"/>
      <c r="AC108" s="43"/>
      <c r="AD108" s="43"/>
      <c r="AE108" s="43"/>
      <c r="AF108" s="43"/>
      <c r="AG108" s="7"/>
      <c r="AH108" s="88"/>
      <c r="AI108" s="88"/>
      <c r="AJ108" s="88"/>
      <c r="AK108" s="88"/>
      <c r="AL108" s="117">
        <v>11</v>
      </c>
    </row>
    <row r="109" spans="1:38" s="117" customFormat="1" ht="11.45" customHeight="1">
      <c r="A109" s="330"/>
      <c r="B109" s="330"/>
      <c r="C109" s="330"/>
      <c r="D109" s="330"/>
      <c r="E109" s="330"/>
      <c r="F109" s="46"/>
      <c r="G109" s="46"/>
      <c r="O109" s="43"/>
      <c r="Q109" s="43"/>
      <c r="R109" s="46"/>
      <c r="S109" s="46"/>
      <c r="T109" s="43"/>
      <c r="U109" s="43"/>
      <c r="V109" s="43"/>
      <c r="W109" s="43"/>
      <c r="X109" s="46"/>
      <c r="Y109" s="43"/>
      <c r="Z109" s="43"/>
      <c r="AA109" s="77"/>
      <c r="AB109" s="43"/>
      <c r="AC109" s="43"/>
      <c r="AD109" s="43"/>
      <c r="AE109" s="43"/>
      <c r="AF109" s="43"/>
      <c r="AG109" s="7"/>
      <c r="AH109" s="88"/>
      <c r="AI109" s="88"/>
      <c r="AJ109" s="88"/>
      <c r="AK109" s="88"/>
      <c r="AL109" s="117">
        <v>11</v>
      </c>
    </row>
    <row r="110" spans="1:38" s="117" customFormat="1" ht="11.45" customHeight="1">
      <c r="A110" s="330"/>
      <c r="B110" s="330"/>
      <c r="C110" s="330"/>
      <c r="D110" s="330"/>
      <c r="E110" s="330"/>
      <c r="F110" s="46"/>
      <c r="G110" s="46"/>
      <c r="O110" s="43"/>
      <c r="Q110" s="43"/>
      <c r="R110" s="46"/>
      <c r="S110" s="46"/>
      <c r="T110" s="43"/>
      <c r="U110" s="43"/>
      <c r="V110" s="43"/>
      <c r="W110" s="43"/>
      <c r="X110" s="46"/>
      <c r="Y110" s="43"/>
      <c r="Z110" s="43"/>
      <c r="AA110" s="77"/>
      <c r="AB110" s="43"/>
      <c r="AC110" s="43"/>
      <c r="AD110" s="43"/>
      <c r="AE110" s="43"/>
      <c r="AF110" s="43"/>
      <c r="AG110" s="7"/>
      <c r="AH110" s="88"/>
      <c r="AI110" s="88"/>
      <c r="AJ110" s="88"/>
      <c r="AK110" s="88"/>
      <c r="AL110" s="117">
        <v>11</v>
      </c>
    </row>
    <row r="111" spans="1:38" s="117" customFormat="1" ht="11.45" customHeight="1">
      <c r="A111" s="330"/>
      <c r="B111" s="330"/>
      <c r="C111" s="330"/>
      <c r="D111" s="330"/>
      <c r="E111" s="330"/>
      <c r="F111" s="46"/>
      <c r="G111" s="46"/>
      <c r="O111" s="43"/>
      <c r="Q111" s="43"/>
      <c r="R111" s="46"/>
      <c r="S111" s="46"/>
      <c r="T111" s="43"/>
      <c r="U111" s="43"/>
      <c r="V111" s="43"/>
      <c r="W111" s="43"/>
      <c r="X111" s="46"/>
      <c r="Y111" s="43"/>
      <c r="Z111" s="43"/>
      <c r="AA111" s="77"/>
      <c r="AB111" s="43"/>
      <c r="AC111" s="43"/>
      <c r="AD111" s="43"/>
      <c r="AE111" s="43"/>
      <c r="AF111" s="43"/>
      <c r="AG111" s="7"/>
      <c r="AH111" s="88"/>
      <c r="AI111" s="88"/>
      <c r="AJ111" s="88"/>
      <c r="AK111" s="88"/>
      <c r="AL111" s="117">
        <v>11</v>
      </c>
    </row>
    <row r="112" spans="1:38" s="117" customFormat="1" ht="11.45" customHeight="1">
      <c r="A112" s="330"/>
      <c r="B112" s="330"/>
      <c r="C112" s="330"/>
      <c r="D112" s="330"/>
      <c r="E112" s="330"/>
      <c r="F112" s="46"/>
      <c r="G112" s="46"/>
      <c r="O112" s="43"/>
      <c r="Q112" s="43"/>
      <c r="R112" s="46"/>
      <c r="S112" s="46"/>
      <c r="T112" s="43"/>
      <c r="U112" s="43"/>
      <c r="V112" s="43"/>
      <c r="W112" s="43"/>
      <c r="X112" s="46"/>
      <c r="Y112" s="43"/>
      <c r="Z112" s="43"/>
      <c r="AA112" s="77"/>
      <c r="AB112" s="43"/>
      <c r="AC112" s="43"/>
      <c r="AD112" s="43"/>
      <c r="AE112" s="43"/>
      <c r="AF112" s="43"/>
      <c r="AG112" s="7"/>
      <c r="AH112" s="88"/>
      <c r="AI112" s="88"/>
      <c r="AJ112" s="88"/>
      <c r="AK112" s="88"/>
      <c r="AL112" s="117">
        <v>11</v>
      </c>
    </row>
    <row r="113" spans="1:38" s="117" customFormat="1" ht="11.45" customHeight="1">
      <c r="A113" s="330"/>
      <c r="B113" s="330"/>
      <c r="C113" s="330"/>
      <c r="D113" s="330"/>
      <c r="E113" s="330"/>
      <c r="F113" s="46"/>
      <c r="G113" s="46"/>
      <c r="O113" s="43"/>
      <c r="Q113" s="43"/>
      <c r="R113" s="46"/>
      <c r="S113" s="46"/>
      <c r="T113" s="43"/>
      <c r="U113" s="43"/>
      <c r="V113" s="43"/>
      <c r="W113" s="43"/>
      <c r="X113" s="46"/>
      <c r="Y113" s="43"/>
      <c r="Z113" s="43"/>
      <c r="AA113" s="77"/>
      <c r="AB113" s="43"/>
      <c r="AC113" s="43"/>
      <c r="AD113" s="43"/>
      <c r="AE113" s="43"/>
      <c r="AF113" s="43"/>
      <c r="AG113" s="7"/>
      <c r="AH113" s="88"/>
      <c r="AI113" s="88"/>
      <c r="AJ113" s="88"/>
      <c r="AK113" s="88"/>
      <c r="AL113" s="117">
        <v>11</v>
      </c>
    </row>
    <row r="114" spans="1:38" s="117" customFormat="1" ht="11.45" customHeight="1">
      <c r="A114" s="330"/>
      <c r="B114" s="330"/>
      <c r="C114" s="330"/>
      <c r="D114" s="330"/>
      <c r="E114" s="330"/>
      <c r="F114" s="46"/>
      <c r="G114" s="46"/>
      <c r="O114" s="43"/>
      <c r="Q114" s="43"/>
      <c r="R114" s="46"/>
      <c r="S114" s="46"/>
      <c r="T114" s="43"/>
      <c r="U114" s="43"/>
      <c r="V114" s="43"/>
      <c r="W114" s="43"/>
      <c r="X114" s="46"/>
      <c r="Y114" s="43"/>
      <c r="Z114" s="43"/>
      <c r="AA114" s="77"/>
      <c r="AB114" s="43"/>
      <c r="AC114" s="43"/>
      <c r="AD114" s="43"/>
      <c r="AE114" s="43"/>
      <c r="AF114" s="43"/>
      <c r="AG114" s="7"/>
      <c r="AH114" s="88"/>
      <c r="AI114" s="88"/>
      <c r="AJ114" s="88"/>
      <c r="AK114" s="88"/>
      <c r="AL114" s="117">
        <v>11</v>
      </c>
    </row>
    <row r="115" spans="1:38" s="117" customFormat="1" ht="11.45" customHeight="1">
      <c r="A115" s="330"/>
      <c r="B115" s="330"/>
      <c r="C115" s="330"/>
      <c r="D115" s="330"/>
      <c r="E115" s="330"/>
      <c r="F115" s="46"/>
      <c r="G115" s="46"/>
      <c r="O115" s="43"/>
      <c r="Q115" s="43"/>
      <c r="R115" s="46"/>
      <c r="S115" s="46"/>
      <c r="T115" s="43"/>
      <c r="U115" s="43"/>
      <c r="V115" s="43"/>
      <c r="W115" s="43"/>
      <c r="X115" s="46"/>
      <c r="Y115" s="43"/>
      <c r="Z115" s="43"/>
      <c r="AA115" s="77"/>
      <c r="AB115" s="43"/>
      <c r="AC115" s="43"/>
      <c r="AD115" s="43"/>
      <c r="AE115" s="43"/>
      <c r="AF115" s="43"/>
      <c r="AG115" s="7"/>
      <c r="AH115" s="88"/>
      <c r="AI115" s="88"/>
      <c r="AJ115" s="88"/>
      <c r="AK115" s="88"/>
      <c r="AL115" s="117">
        <v>11</v>
      </c>
    </row>
    <row r="116" spans="1:38" s="117" customFormat="1" ht="11.45" customHeight="1">
      <c r="A116" s="330"/>
      <c r="B116" s="330"/>
      <c r="C116" s="330"/>
      <c r="D116" s="330"/>
      <c r="E116" s="330"/>
      <c r="F116" s="46"/>
      <c r="G116" s="46"/>
      <c r="O116" s="43"/>
      <c r="Q116" s="43"/>
      <c r="R116" s="46"/>
      <c r="S116" s="46"/>
      <c r="T116" s="43"/>
      <c r="U116" s="43"/>
      <c r="V116" s="43"/>
      <c r="W116" s="43"/>
      <c r="X116" s="46"/>
      <c r="Y116" s="43"/>
      <c r="Z116" s="43"/>
      <c r="AA116" s="77"/>
      <c r="AB116" s="43"/>
      <c r="AC116" s="43"/>
      <c r="AD116" s="43"/>
      <c r="AE116" s="43"/>
      <c r="AF116" s="43"/>
      <c r="AG116" s="7"/>
      <c r="AH116" s="88"/>
      <c r="AI116" s="88"/>
      <c r="AJ116" s="88"/>
      <c r="AK116" s="88"/>
      <c r="AL116" s="117">
        <v>11</v>
      </c>
    </row>
    <row r="117" spans="1:38" s="117" customFormat="1" ht="11.45" customHeight="1">
      <c r="A117" s="330"/>
      <c r="B117" s="330"/>
      <c r="C117" s="330"/>
      <c r="D117" s="330"/>
      <c r="E117" s="330"/>
      <c r="F117" s="46"/>
      <c r="G117" s="46"/>
      <c r="O117" s="43"/>
      <c r="Q117" s="43"/>
      <c r="R117" s="46"/>
      <c r="S117" s="46"/>
      <c r="T117" s="43"/>
      <c r="U117" s="43"/>
      <c r="V117" s="43"/>
      <c r="W117" s="43"/>
      <c r="X117" s="46"/>
      <c r="Y117" s="43"/>
      <c r="Z117" s="43"/>
      <c r="AA117" s="77"/>
      <c r="AB117" s="43"/>
      <c r="AC117" s="43"/>
      <c r="AD117" s="43"/>
      <c r="AE117" s="43"/>
      <c r="AF117" s="43"/>
      <c r="AG117" s="7"/>
      <c r="AH117" s="88"/>
      <c r="AI117" s="88"/>
      <c r="AJ117" s="88"/>
      <c r="AK117" s="88"/>
      <c r="AL117" s="117">
        <v>11</v>
      </c>
    </row>
    <row r="118" spans="1:38" s="117" customFormat="1" ht="11.45" customHeight="1">
      <c r="A118" s="330"/>
      <c r="B118" s="330"/>
      <c r="C118" s="330"/>
      <c r="D118" s="330"/>
      <c r="E118" s="330"/>
      <c r="F118" s="46"/>
      <c r="G118" s="46"/>
      <c r="O118" s="43"/>
      <c r="Q118" s="43"/>
      <c r="R118" s="46"/>
      <c r="S118" s="46"/>
      <c r="T118" s="43"/>
      <c r="U118" s="43"/>
      <c r="V118" s="43"/>
      <c r="W118" s="43"/>
      <c r="X118" s="46"/>
      <c r="Y118" s="43"/>
      <c r="Z118" s="43"/>
      <c r="AA118" s="77"/>
      <c r="AB118" s="43"/>
      <c r="AC118" s="43"/>
      <c r="AD118" s="43"/>
      <c r="AE118" s="43"/>
      <c r="AF118" s="43"/>
      <c r="AG118" s="7"/>
      <c r="AH118" s="88"/>
      <c r="AI118" s="88"/>
      <c r="AJ118" s="88"/>
      <c r="AK118" s="88"/>
      <c r="AL118" s="117">
        <v>11</v>
      </c>
    </row>
    <row r="119" spans="1:38" s="117" customFormat="1" ht="11.45" customHeight="1">
      <c r="A119" s="330"/>
      <c r="B119" s="330"/>
      <c r="C119" s="330"/>
      <c r="D119" s="330"/>
      <c r="E119" s="330"/>
      <c r="F119" s="46"/>
      <c r="G119" s="46"/>
      <c r="O119" s="43"/>
      <c r="Q119" s="43"/>
      <c r="R119" s="46"/>
      <c r="S119" s="46"/>
      <c r="T119" s="43"/>
      <c r="U119" s="43"/>
      <c r="V119" s="43"/>
      <c r="W119" s="43"/>
      <c r="X119" s="46"/>
      <c r="Y119" s="43"/>
      <c r="Z119" s="43"/>
      <c r="AA119" s="77"/>
      <c r="AB119" s="43"/>
      <c r="AC119" s="43"/>
      <c r="AD119" s="43"/>
      <c r="AE119" s="43"/>
      <c r="AF119" s="43"/>
      <c r="AG119" s="7"/>
      <c r="AH119" s="88"/>
      <c r="AI119" s="88"/>
      <c r="AJ119" s="88"/>
      <c r="AK119" s="88"/>
      <c r="AL119" s="117">
        <v>11</v>
      </c>
    </row>
    <row r="120" spans="1:38" s="117" customFormat="1" ht="11.45" customHeight="1">
      <c r="A120" s="330"/>
      <c r="B120" s="330"/>
      <c r="C120" s="330"/>
      <c r="D120" s="330"/>
      <c r="E120" s="330"/>
      <c r="F120" s="46"/>
      <c r="G120" s="46"/>
      <c r="O120" s="43"/>
      <c r="Q120" s="43"/>
      <c r="R120" s="46"/>
      <c r="S120" s="46"/>
      <c r="T120" s="43"/>
      <c r="U120" s="43"/>
      <c r="V120" s="43"/>
      <c r="W120" s="43"/>
      <c r="X120" s="46"/>
      <c r="Y120" s="43"/>
      <c r="Z120" s="43"/>
      <c r="AA120" s="77"/>
      <c r="AB120" s="43"/>
      <c r="AC120" s="43"/>
      <c r="AD120" s="43"/>
      <c r="AE120" s="43"/>
      <c r="AF120" s="43"/>
      <c r="AG120" s="7"/>
      <c r="AH120" s="88"/>
      <c r="AI120" s="88"/>
      <c r="AJ120" s="88"/>
      <c r="AK120" s="88"/>
      <c r="AL120" s="117">
        <v>11</v>
      </c>
    </row>
    <row r="121" spans="1:38" s="117" customFormat="1" ht="11.45" customHeight="1">
      <c r="A121" s="330"/>
      <c r="B121" s="330"/>
      <c r="C121" s="330"/>
      <c r="D121" s="330"/>
      <c r="E121" s="330"/>
      <c r="F121" s="46"/>
      <c r="G121" s="46"/>
      <c r="O121" s="43"/>
      <c r="Q121" s="43"/>
      <c r="R121" s="46"/>
      <c r="S121" s="46"/>
      <c r="T121" s="43"/>
      <c r="U121" s="43"/>
      <c r="V121" s="43"/>
      <c r="W121" s="43"/>
      <c r="X121" s="46"/>
      <c r="Y121" s="43"/>
      <c r="Z121" s="43"/>
      <c r="AA121" s="77"/>
      <c r="AB121" s="43"/>
      <c r="AC121" s="43"/>
      <c r="AD121" s="43"/>
      <c r="AE121" s="43"/>
      <c r="AF121" s="43"/>
      <c r="AG121" s="7"/>
      <c r="AH121" s="88"/>
      <c r="AI121" s="88"/>
      <c r="AJ121" s="88"/>
      <c r="AK121" s="88"/>
      <c r="AL121" s="117">
        <v>11</v>
      </c>
    </row>
    <row r="122" spans="1:38" s="117" customFormat="1" ht="11.45" customHeight="1">
      <c r="A122" s="330"/>
      <c r="B122" s="330"/>
      <c r="C122" s="330"/>
      <c r="D122" s="330"/>
      <c r="E122" s="330"/>
      <c r="F122" s="46"/>
      <c r="G122" s="46"/>
      <c r="O122" s="43"/>
      <c r="Q122" s="43"/>
      <c r="R122" s="46"/>
      <c r="S122" s="46"/>
      <c r="T122" s="43"/>
      <c r="U122" s="43"/>
      <c r="V122" s="43"/>
      <c r="W122" s="43"/>
      <c r="X122" s="46"/>
      <c r="Y122" s="43"/>
      <c r="Z122" s="43"/>
      <c r="AA122" s="77"/>
      <c r="AB122" s="43"/>
      <c r="AC122" s="43"/>
      <c r="AD122" s="43"/>
      <c r="AE122" s="43"/>
      <c r="AF122" s="43"/>
      <c r="AG122" s="7"/>
      <c r="AH122" s="88"/>
      <c r="AI122" s="88"/>
      <c r="AJ122" s="88"/>
      <c r="AK122" s="88"/>
      <c r="AL122" s="117">
        <v>11</v>
      </c>
    </row>
    <row r="123" spans="1:38" s="117" customFormat="1" ht="11.45" customHeight="1">
      <c r="A123" s="330"/>
      <c r="B123" s="330"/>
      <c r="C123" s="330"/>
      <c r="D123" s="330"/>
      <c r="E123" s="330"/>
      <c r="F123" s="46"/>
      <c r="G123" s="46"/>
      <c r="O123" s="43"/>
      <c r="Q123" s="43"/>
      <c r="R123" s="46"/>
      <c r="S123" s="46"/>
      <c r="T123" s="43"/>
      <c r="U123" s="43"/>
      <c r="V123" s="43"/>
      <c r="W123" s="43"/>
      <c r="X123" s="46"/>
      <c r="Y123" s="43"/>
      <c r="Z123" s="43"/>
      <c r="AA123" s="77"/>
      <c r="AB123" s="43"/>
      <c r="AC123" s="43"/>
      <c r="AD123" s="43"/>
      <c r="AE123" s="43"/>
      <c r="AF123" s="43"/>
      <c r="AG123" s="7"/>
      <c r="AH123" s="88"/>
      <c r="AI123" s="88"/>
      <c r="AJ123" s="88"/>
      <c r="AK123" s="88"/>
      <c r="AL123" s="117">
        <v>11</v>
      </c>
    </row>
    <row r="124" spans="1:38" s="117" customFormat="1" ht="11.45" customHeight="1">
      <c r="A124" s="330"/>
      <c r="B124" s="330"/>
      <c r="C124" s="330"/>
      <c r="D124" s="330"/>
      <c r="E124" s="330"/>
      <c r="F124" s="46"/>
      <c r="G124" s="46"/>
      <c r="O124" s="43"/>
      <c r="Q124" s="43"/>
      <c r="R124" s="46"/>
      <c r="S124" s="46"/>
      <c r="T124" s="43"/>
      <c r="U124" s="43"/>
      <c r="V124" s="43"/>
      <c r="W124" s="43"/>
      <c r="X124" s="46"/>
      <c r="Y124" s="43"/>
      <c r="Z124" s="43"/>
      <c r="AA124" s="77"/>
      <c r="AB124" s="43"/>
      <c r="AC124" s="43"/>
      <c r="AD124" s="43"/>
      <c r="AE124" s="43"/>
      <c r="AF124" s="43"/>
      <c r="AG124" s="7"/>
      <c r="AH124" s="88"/>
      <c r="AI124" s="88"/>
      <c r="AJ124" s="88"/>
      <c r="AK124" s="88"/>
      <c r="AL124" s="117">
        <v>11</v>
      </c>
    </row>
    <row r="125" spans="1:38" s="117" customFormat="1" ht="11.45" customHeight="1">
      <c r="A125" s="330"/>
      <c r="B125" s="330"/>
      <c r="C125" s="330"/>
      <c r="D125" s="330"/>
      <c r="E125" s="330"/>
      <c r="F125" s="46"/>
      <c r="G125" s="46"/>
      <c r="O125" s="43"/>
      <c r="Q125" s="43"/>
      <c r="R125" s="46"/>
      <c r="S125" s="46"/>
      <c r="T125" s="43"/>
      <c r="U125" s="43"/>
      <c r="V125" s="43"/>
      <c r="W125" s="43"/>
      <c r="X125" s="46"/>
      <c r="Y125" s="43"/>
      <c r="Z125" s="43"/>
      <c r="AA125" s="77"/>
      <c r="AB125" s="43"/>
      <c r="AC125" s="43"/>
      <c r="AD125" s="43"/>
      <c r="AE125" s="43"/>
      <c r="AF125" s="43"/>
      <c r="AG125" s="7"/>
      <c r="AH125" s="88"/>
      <c r="AI125" s="88"/>
      <c r="AJ125" s="88"/>
      <c r="AK125" s="88"/>
      <c r="AL125" s="117">
        <v>11</v>
      </c>
    </row>
    <row r="126" spans="1:38" s="117" customFormat="1" ht="11.45" customHeight="1">
      <c r="A126" s="330"/>
      <c r="B126" s="330"/>
      <c r="C126" s="330"/>
      <c r="D126" s="330"/>
      <c r="E126" s="330"/>
      <c r="F126" s="46"/>
      <c r="G126" s="46"/>
      <c r="O126" s="43"/>
      <c r="Q126" s="43"/>
      <c r="R126" s="46"/>
      <c r="S126" s="46"/>
      <c r="T126" s="43"/>
      <c r="U126" s="43"/>
      <c r="V126" s="43"/>
      <c r="W126" s="43"/>
      <c r="X126" s="46"/>
      <c r="Y126" s="43"/>
      <c r="Z126" s="43"/>
      <c r="AA126" s="77"/>
      <c r="AB126" s="43"/>
      <c r="AC126" s="43"/>
      <c r="AD126" s="43"/>
      <c r="AE126" s="43"/>
      <c r="AF126" s="43"/>
      <c r="AG126" s="7"/>
      <c r="AH126" s="88"/>
      <c r="AI126" s="88"/>
      <c r="AJ126" s="88"/>
      <c r="AK126" s="88"/>
      <c r="AL126" s="117">
        <v>11</v>
      </c>
    </row>
    <row r="127" spans="1:38" s="117" customFormat="1" ht="11.45" customHeight="1">
      <c r="A127" s="330"/>
      <c r="B127" s="330"/>
      <c r="C127" s="330"/>
      <c r="D127" s="330"/>
      <c r="E127" s="330"/>
      <c r="F127" s="46"/>
      <c r="G127" s="46"/>
      <c r="O127" s="43"/>
      <c r="Q127" s="43"/>
      <c r="R127" s="46"/>
      <c r="S127" s="46"/>
      <c r="T127" s="43"/>
      <c r="U127" s="43"/>
      <c r="V127" s="43"/>
      <c r="W127" s="43"/>
      <c r="X127" s="46"/>
      <c r="Y127" s="43"/>
      <c r="Z127" s="43"/>
      <c r="AA127" s="77"/>
      <c r="AB127" s="43"/>
      <c r="AC127" s="43"/>
      <c r="AD127" s="43"/>
      <c r="AE127" s="43"/>
      <c r="AF127" s="43"/>
      <c r="AG127" s="7"/>
      <c r="AH127" s="88"/>
      <c r="AI127" s="88"/>
      <c r="AJ127" s="88"/>
      <c r="AK127" s="88"/>
      <c r="AL127" s="117">
        <v>11</v>
      </c>
    </row>
    <row r="128" spans="1:38" s="117" customFormat="1" ht="11.45" customHeight="1">
      <c r="A128" s="330"/>
      <c r="B128" s="330"/>
      <c r="C128" s="330"/>
      <c r="D128" s="330"/>
      <c r="E128" s="330"/>
      <c r="F128" s="46"/>
      <c r="G128" s="46"/>
      <c r="O128" s="43"/>
      <c r="Q128" s="43"/>
      <c r="R128" s="46"/>
      <c r="S128" s="46"/>
      <c r="T128" s="43"/>
      <c r="U128" s="43"/>
      <c r="V128" s="43"/>
      <c r="W128" s="43"/>
      <c r="X128" s="46"/>
      <c r="Y128" s="43"/>
      <c r="Z128" s="43"/>
      <c r="AA128" s="77"/>
      <c r="AB128" s="43"/>
      <c r="AC128" s="43"/>
      <c r="AD128" s="43"/>
      <c r="AE128" s="43"/>
      <c r="AF128" s="43"/>
      <c r="AG128" s="7"/>
      <c r="AH128" s="88"/>
      <c r="AI128" s="88"/>
      <c r="AJ128" s="88"/>
      <c r="AK128" s="88"/>
      <c r="AL128" s="117">
        <v>11</v>
      </c>
    </row>
    <row r="129" spans="1:38" s="117" customFormat="1" ht="11.45" customHeight="1">
      <c r="A129" s="330"/>
      <c r="B129" s="330"/>
      <c r="C129" s="330"/>
      <c r="D129" s="330"/>
      <c r="E129" s="330"/>
      <c r="F129" s="46"/>
      <c r="G129" s="46"/>
      <c r="O129" s="43"/>
      <c r="Q129" s="43"/>
      <c r="R129" s="46"/>
      <c r="S129" s="46"/>
      <c r="T129" s="43"/>
      <c r="U129" s="43"/>
      <c r="V129" s="43"/>
      <c r="W129" s="43"/>
      <c r="X129" s="46"/>
      <c r="Y129" s="43"/>
      <c r="Z129" s="43"/>
      <c r="AA129" s="77"/>
      <c r="AB129" s="43"/>
      <c r="AC129" s="43"/>
      <c r="AD129" s="43"/>
      <c r="AE129" s="43"/>
      <c r="AF129" s="43"/>
      <c r="AG129" s="7"/>
      <c r="AH129" s="88"/>
      <c r="AI129" s="88"/>
      <c r="AJ129" s="88"/>
      <c r="AK129" s="88"/>
      <c r="AL129" s="117">
        <v>11</v>
      </c>
    </row>
    <row r="130" spans="1:38" s="117" customFormat="1" ht="11.45" customHeight="1">
      <c r="A130" s="330"/>
      <c r="B130" s="330"/>
      <c r="C130" s="330"/>
      <c r="D130" s="330"/>
      <c r="E130" s="330"/>
      <c r="F130" s="46"/>
      <c r="G130" s="46"/>
      <c r="O130" s="43"/>
      <c r="Q130" s="43"/>
      <c r="R130" s="46"/>
      <c r="S130" s="46"/>
      <c r="T130" s="43"/>
      <c r="U130" s="43"/>
      <c r="V130" s="43"/>
      <c r="W130" s="43"/>
      <c r="X130" s="46"/>
      <c r="Y130" s="43"/>
      <c r="Z130" s="43"/>
      <c r="AA130" s="77"/>
      <c r="AB130" s="43"/>
      <c r="AC130" s="43"/>
      <c r="AD130" s="43"/>
      <c r="AE130" s="43"/>
      <c r="AF130" s="43"/>
      <c r="AG130" s="7"/>
      <c r="AH130" s="88"/>
      <c r="AI130" s="88"/>
      <c r="AJ130" s="88"/>
      <c r="AK130" s="88"/>
      <c r="AL130" s="117">
        <v>11</v>
      </c>
    </row>
    <row r="131" spans="1:38" s="117" customFormat="1" ht="11.45" customHeight="1">
      <c r="A131" s="330"/>
      <c r="B131" s="330"/>
      <c r="C131" s="330"/>
      <c r="D131" s="330"/>
      <c r="E131" s="330"/>
      <c r="F131" s="46"/>
      <c r="G131" s="46"/>
      <c r="O131" s="43"/>
      <c r="Q131" s="43"/>
      <c r="R131" s="46"/>
      <c r="S131" s="46"/>
      <c r="T131" s="43"/>
      <c r="U131" s="43"/>
      <c r="V131" s="43"/>
      <c r="W131" s="43"/>
      <c r="X131" s="46"/>
      <c r="Y131" s="43"/>
      <c r="Z131" s="43"/>
      <c r="AA131" s="77"/>
      <c r="AB131" s="43"/>
      <c r="AC131" s="43"/>
      <c r="AD131" s="43"/>
      <c r="AE131" s="43"/>
      <c r="AF131" s="43"/>
      <c r="AG131" s="7"/>
      <c r="AH131" s="88"/>
      <c r="AI131" s="88"/>
      <c r="AJ131" s="88"/>
      <c r="AK131" s="88"/>
      <c r="AL131" s="117">
        <v>11</v>
      </c>
    </row>
    <row r="132" spans="1:38" s="117" customFormat="1" ht="11.45" customHeight="1">
      <c r="A132" s="330"/>
      <c r="B132" s="330"/>
      <c r="C132" s="330"/>
      <c r="D132" s="330"/>
      <c r="E132" s="330"/>
      <c r="F132" s="46"/>
      <c r="G132" s="46"/>
      <c r="O132" s="43"/>
      <c r="Q132" s="43"/>
      <c r="R132" s="46"/>
      <c r="S132" s="46"/>
      <c r="T132" s="43"/>
      <c r="U132" s="43"/>
      <c r="V132" s="43"/>
      <c r="W132" s="43"/>
      <c r="X132" s="46"/>
      <c r="Y132" s="43"/>
      <c r="Z132" s="43"/>
      <c r="AA132" s="77"/>
      <c r="AB132" s="43"/>
      <c r="AC132" s="43"/>
      <c r="AD132" s="43"/>
      <c r="AE132" s="43"/>
      <c r="AF132" s="43"/>
      <c r="AG132" s="7"/>
      <c r="AH132" s="88"/>
      <c r="AI132" s="88"/>
      <c r="AJ132" s="88"/>
      <c r="AK132" s="88"/>
      <c r="AL132" s="117">
        <v>11</v>
      </c>
    </row>
    <row r="133" spans="1:38" s="117" customFormat="1" ht="11.45" customHeight="1">
      <c r="A133" s="330"/>
      <c r="B133" s="330"/>
      <c r="C133" s="330"/>
      <c r="D133" s="330"/>
      <c r="E133" s="330"/>
      <c r="F133" s="46"/>
      <c r="G133" s="46"/>
      <c r="O133" s="43"/>
      <c r="Q133" s="43"/>
      <c r="R133" s="46"/>
      <c r="S133" s="46"/>
      <c r="T133" s="43"/>
      <c r="U133" s="43"/>
      <c r="V133" s="43"/>
      <c r="W133" s="43"/>
      <c r="X133" s="46"/>
      <c r="Y133" s="43"/>
      <c r="Z133" s="43"/>
      <c r="AA133" s="77"/>
      <c r="AB133" s="43"/>
      <c r="AC133" s="43"/>
      <c r="AD133" s="43"/>
      <c r="AE133" s="43"/>
      <c r="AF133" s="43"/>
      <c r="AG133" s="7"/>
      <c r="AH133" s="88"/>
      <c r="AI133" s="88"/>
      <c r="AJ133" s="88"/>
      <c r="AK133" s="88"/>
      <c r="AL133" s="117">
        <v>11</v>
      </c>
    </row>
    <row r="134" spans="1:38" s="117" customFormat="1" ht="11.45" customHeight="1">
      <c r="A134" s="330"/>
      <c r="B134" s="330"/>
      <c r="C134" s="330"/>
      <c r="D134" s="330"/>
      <c r="E134" s="330"/>
      <c r="F134" s="46"/>
      <c r="G134" s="46"/>
      <c r="O134" s="43"/>
      <c r="Q134" s="43"/>
      <c r="R134" s="46"/>
      <c r="S134" s="46"/>
      <c r="T134" s="43"/>
      <c r="U134" s="43"/>
      <c r="V134" s="43"/>
      <c r="W134" s="43"/>
      <c r="X134" s="46"/>
      <c r="Y134" s="43"/>
      <c r="Z134" s="43"/>
      <c r="AA134" s="77"/>
      <c r="AB134" s="43"/>
      <c r="AC134" s="43"/>
      <c r="AD134" s="43"/>
      <c r="AE134" s="43"/>
      <c r="AF134" s="43"/>
      <c r="AG134" s="7"/>
      <c r="AH134" s="88"/>
      <c r="AI134" s="88"/>
      <c r="AJ134" s="88"/>
      <c r="AK134" s="88"/>
      <c r="AL134" s="117">
        <v>11</v>
      </c>
    </row>
    <row r="135" spans="1:38" s="117" customFormat="1" ht="11.45" customHeight="1">
      <c r="A135" s="330"/>
      <c r="B135" s="330"/>
      <c r="C135" s="330"/>
      <c r="D135" s="330"/>
      <c r="E135" s="330"/>
      <c r="F135" s="46"/>
      <c r="G135" s="46"/>
      <c r="O135" s="43"/>
      <c r="Q135" s="43"/>
      <c r="R135" s="46"/>
      <c r="S135" s="46"/>
      <c r="T135" s="43"/>
      <c r="U135" s="43"/>
      <c r="V135" s="43"/>
      <c r="W135" s="43"/>
      <c r="X135" s="46"/>
      <c r="Y135" s="43"/>
      <c r="Z135" s="43"/>
      <c r="AA135" s="77"/>
      <c r="AB135" s="43"/>
      <c r="AC135" s="43"/>
      <c r="AD135" s="43"/>
      <c r="AE135" s="43"/>
      <c r="AF135" s="43"/>
      <c r="AG135" s="7"/>
      <c r="AH135" s="88"/>
      <c r="AI135" s="88"/>
      <c r="AJ135" s="88"/>
      <c r="AK135" s="88"/>
      <c r="AL135" s="117">
        <v>11</v>
      </c>
    </row>
    <row r="136" spans="1:38" s="117" customFormat="1" ht="11.45" customHeight="1">
      <c r="A136" s="330"/>
      <c r="B136" s="330"/>
      <c r="C136" s="330"/>
      <c r="D136" s="330"/>
      <c r="E136" s="330"/>
      <c r="F136" s="46"/>
      <c r="G136" s="46"/>
      <c r="O136" s="43"/>
      <c r="Q136" s="43"/>
      <c r="R136" s="46"/>
      <c r="S136" s="46"/>
      <c r="T136" s="43"/>
      <c r="U136" s="43"/>
      <c r="V136" s="43"/>
      <c r="W136" s="43"/>
      <c r="X136" s="46"/>
      <c r="Y136" s="43"/>
      <c r="Z136" s="43"/>
      <c r="AA136" s="77"/>
      <c r="AB136" s="43"/>
      <c r="AC136" s="43"/>
      <c r="AD136" s="43"/>
      <c r="AE136" s="43"/>
      <c r="AF136" s="43"/>
      <c r="AG136" s="7"/>
      <c r="AH136" s="88"/>
      <c r="AI136" s="88"/>
      <c r="AJ136" s="88"/>
      <c r="AK136" s="88"/>
      <c r="AL136" s="117">
        <v>11</v>
      </c>
    </row>
    <row r="137" spans="1:38" s="117" customFormat="1" ht="11.45" customHeight="1">
      <c r="A137" s="330"/>
      <c r="B137" s="330"/>
      <c r="C137" s="330"/>
      <c r="D137" s="330"/>
      <c r="E137" s="330"/>
      <c r="F137" s="46"/>
      <c r="G137" s="46"/>
      <c r="O137" s="43"/>
      <c r="Q137" s="43"/>
      <c r="R137" s="46"/>
      <c r="S137" s="46"/>
      <c r="T137" s="43"/>
      <c r="U137" s="43"/>
      <c r="V137" s="43"/>
      <c r="W137" s="43"/>
      <c r="X137" s="46"/>
      <c r="Y137" s="43"/>
      <c r="Z137" s="43"/>
      <c r="AA137" s="77"/>
      <c r="AB137" s="43"/>
      <c r="AC137" s="43"/>
      <c r="AD137" s="43"/>
      <c r="AE137" s="43"/>
      <c r="AF137" s="43"/>
      <c r="AG137" s="7"/>
      <c r="AH137" s="88"/>
      <c r="AI137" s="88"/>
      <c r="AJ137" s="88"/>
      <c r="AK137" s="88"/>
      <c r="AL137" s="117">
        <v>11</v>
      </c>
    </row>
    <row r="138" spans="1:38" s="117" customFormat="1" ht="11.45" customHeight="1">
      <c r="A138" s="330"/>
      <c r="B138" s="330"/>
      <c r="C138" s="330"/>
      <c r="D138" s="330"/>
      <c r="E138" s="330"/>
      <c r="F138" s="46"/>
      <c r="G138" s="46"/>
      <c r="O138" s="43"/>
      <c r="Q138" s="43"/>
      <c r="R138" s="46"/>
      <c r="S138" s="46"/>
      <c r="T138" s="43"/>
      <c r="U138" s="43"/>
      <c r="V138" s="43"/>
      <c r="W138" s="43"/>
      <c r="X138" s="46"/>
      <c r="Y138" s="43"/>
      <c r="Z138" s="43"/>
      <c r="AA138" s="77"/>
      <c r="AB138" s="43"/>
      <c r="AC138" s="43"/>
      <c r="AD138" s="43"/>
      <c r="AE138" s="43"/>
      <c r="AF138" s="43"/>
      <c r="AG138" s="7"/>
      <c r="AH138" s="88"/>
      <c r="AI138" s="88"/>
      <c r="AJ138" s="88"/>
      <c r="AK138" s="88"/>
      <c r="AL138" s="117">
        <v>11</v>
      </c>
    </row>
    <row r="139" spans="1:38" s="117" customFormat="1" ht="11.45" customHeight="1">
      <c r="A139" s="330"/>
      <c r="B139" s="330"/>
      <c r="C139" s="330"/>
      <c r="D139" s="330"/>
      <c r="E139" s="330"/>
      <c r="F139" s="46"/>
      <c r="G139" s="46"/>
      <c r="O139" s="43"/>
      <c r="Q139" s="43"/>
      <c r="R139" s="46"/>
      <c r="S139" s="46"/>
      <c r="T139" s="43"/>
      <c r="U139" s="43"/>
      <c r="V139" s="43"/>
      <c r="W139" s="43"/>
      <c r="X139" s="46"/>
      <c r="Y139" s="43"/>
      <c r="Z139" s="43"/>
      <c r="AA139" s="77"/>
      <c r="AB139" s="43"/>
      <c r="AC139" s="43"/>
      <c r="AD139" s="43"/>
      <c r="AE139" s="43"/>
      <c r="AF139" s="43"/>
      <c r="AG139" s="7"/>
      <c r="AH139" s="88"/>
      <c r="AI139" s="88"/>
      <c r="AJ139" s="88"/>
      <c r="AK139" s="88"/>
      <c r="AL139" s="117">
        <v>11</v>
      </c>
    </row>
    <row r="140" spans="1:38" s="117" customFormat="1" ht="11.45" customHeight="1">
      <c r="A140" s="330"/>
      <c r="B140" s="330"/>
      <c r="C140" s="330"/>
      <c r="D140" s="330"/>
      <c r="E140" s="330"/>
      <c r="F140" s="46"/>
      <c r="G140" s="46"/>
      <c r="O140" s="43"/>
      <c r="Q140" s="43"/>
      <c r="R140" s="46"/>
      <c r="S140" s="46"/>
      <c r="T140" s="43"/>
      <c r="U140" s="43"/>
      <c r="V140" s="43"/>
      <c r="W140" s="43"/>
      <c r="X140" s="46"/>
      <c r="Y140" s="43"/>
      <c r="Z140" s="43"/>
      <c r="AA140" s="77"/>
      <c r="AB140" s="43"/>
      <c r="AC140" s="43"/>
      <c r="AD140" s="43"/>
      <c r="AE140" s="43"/>
      <c r="AF140" s="43"/>
      <c r="AG140" s="7"/>
      <c r="AH140" s="88"/>
      <c r="AI140" s="88"/>
      <c r="AJ140" s="88"/>
      <c r="AK140" s="88"/>
      <c r="AL140" s="117">
        <v>11</v>
      </c>
    </row>
    <row r="141" spans="1:38" s="117" customFormat="1" ht="11.45" customHeight="1">
      <c r="A141" s="330"/>
      <c r="B141" s="330"/>
      <c r="C141" s="330"/>
      <c r="D141" s="330"/>
      <c r="E141" s="330"/>
      <c r="F141" s="46"/>
      <c r="G141" s="46"/>
      <c r="O141" s="43"/>
      <c r="Q141" s="43"/>
      <c r="R141" s="46"/>
      <c r="S141" s="46"/>
      <c r="T141" s="43"/>
      <c r="U141" s="43"/>
      <c r="V141" s="43"/>
      <c r="W141" s="43"/>
      <c r="X141" s="46"/>
      <c r="Y141" s="43"/>
      <c r="Z141" s="43"/>
      <c r="AA141" s="77"/>
      <c r="AB141" s="43"/>
      <c r="AC141" s="43"/>
      <c r="AD141" s="43"/>
      <c r="AE141" s="43"/>
      <c r="AF141" s="43"/>
      <c r="AG141" s="7"/>
      <c r="AH141" s="88"/>
      <c r="AI141" s="88"/>
      <c r="AJ141" s="88"/>
      <c r="AK141" s="88"/>
      <c r="AL141" s="117">
        <v>11</v>
      </c>
    </row>
    <row r="142" spans="1:38" s="117" customFormat="1" ht="11.45" customHeight="1">
      <c r="A142" s="330"/>
      <c r="B142" s="330"/>
      <c r="C142" s="330"/>
      <c r="D142" s="330"/>
      <c r="E142" s="330"/>
      <c r="F142" s="46"/>
      <c r="G142" s="46"/>
      <c r="O142" s="43"/>
      <c r="Q142" s="43"/>
      <c r="R142" s="46"/>
      <c r="S142" s="46"/>
      <c r="T142" s="43"/>
      <c r="U142" s="43"/>
      <c r="V142" s="43"/>
      <c r="W142" s="43"/>
      <c r="X142" s="46"/>
      <c r="Y142" s="43"/>
      <c r="Z142" s="43"/>
      <c r="AA142" s="77"/>
      <c r="AB142" s="43"/>
      <c r="AC142" s="43"/>
      <c r="AD142" s="43"/>
      <c r="AE142" s="43"/>
      <c r="AF142" s="43"/>
      <c r="AG142" s="7"/>
      <c r="AH142" s="88"/>
      <c r="AI142" s="88"/>
      <c r="AJ142" s="88"/>
      <c r="AK142" s="88"/>
      <c r="AL142" s="117">
        <v>11</v>
      </c>
    </row>
    <row r="143" spans="1:38" s="117" customFormat="1" ht="11.45" customHeight="1">
      <c r="A143" s="330"/>
      <c r="B143" s="330"/>
      <c r="C143" s="330"/>
      <c r="D143" s="330"/>
      <c r="E143" s="330"/>
      <c r="F143" s="46"/>
      <c r="G143" s="46"/>
      <c r="O143" s="43"/>
      <c r="Q143" s="43"/>
      <c r="R143" s="46"/>
      <c r="S143" s="46"/>
      <c r="T143" s="43"/>
      <c r="U143" s="43"/>
      <c r="V143" s="43"/>
      <c r="W143" s="43"/>
      <c r="X143" s="46"/>
      <c r="Y143" s="43"/>
      <c r="Z143" s="43"/>
      <c r="AA143" s="77"/>
      <c r="AB143" s="43"/>
      <c r="AC143" s="43"/>
      <c r="AD143" s="43"/>
      <c r="AE143" s="43"/>
      <c r="AF143" s="43"/>
      <c r="AG143" s="7"/>
      <c r="AH143" s="88"/>
      <c r="AI143" s="88"/>
      <c r="AJ143" s="88"/>
      <c r="AK143" s="88"/>
      <c r="AL143" s="117">
        <v>11</v>
      </c>
    </row>
    <row r="144" spans="1:38" s="117" customFormat="1" ht="11.45" customHeight="1">
      <c r="A144" s="330"/>
      <c r="B144" s="330"/>
      <c r="C144" s="330"/>
      <c r="D144" s="330"/>
      <c r="E144" s="330"/>
      <c r="F144" s="46"/>
      <c r="G144" s="46"/>
      <c r="O144" s="43"/>
      <c r="Q144" s="43"/>
      <c r="R144" s="46"/>
      <c r="S144" s="46"/>
      <c r="T144" s="43"/>
      <c r="U144" s="43"/>
      <c r="V144" s="43"/>
      <c r="W144" s="43"/>
      <c r="X144" s="46"/>
      <c r="Y144" s="43"/>
      <c r="Z144" s="43"/>
      <c r="AA144" s="77"/>
      <c r="AB144" s="43"/>
      <c r="AC144" s="43"/>
      <c r="AD144" s="43"/>
      <c r="AE144" s="43"/>
      <c r="AF144" s="43"/>
      <c r="AG144" s="7"/>
      <c r="AH144" s="88"/>
      <c r="AI144" s="88"/>
      <c r="AJ144" s="88"/>
      <c r="AK144" s="88"/>
      <c r="AL144" s="117">
        <v>11</v>
      </c>
    </row>
    <row r="145" spans="1:38" s="117" customFormat="1" ht="11.45" customHeight="1">
      <c r="A145" s="330"/>
      <c r="B145" s="330"/>
      <c r="C145" s="330"/>
      <c r="D145" s="330"/>
      <c r="E145" s="330"/>
      <c r="F145" s="46"/>
      <c r="G145" s="46"/>
      <c r="O145" s="43"/>
      <c r="Q145" s="43"/>
      <c r="R145" s="46"/>
      <c r="S145" s="46"/>
      <c r="T145" s="43"/>
      <c r="U145" s="43"/>
      <c r="V145" s="43"/>
      <c r="W145" s="43"/>
      <c r="X145" s="46"/>
      <c r="Y145" s="43"/>
      <c r="Z145" s="43"/>
      <c r="AA145" s="77"/>
      <c r="AB145" s="43"/>
      <c r="AC145" s="43"/>
      <c r="AD145" s="43"/>
      <c r="AE145" s="43"/>
      <c r="AF145" s="43"/>
      <c r="AG145" s="7"/>
      <c r="AH145" s="88"/>
      <c r="AI145" s="88"/>
      <c r="AJ145" s="88"/>
      <c r="AK145" s="88"/>
      <c r="AL145" s="117">
        <v>11</v>
      </c>
    </row>
    <row r="146" spans="1:38" s="117" customFormat="1" ht="11.45" customHeight="1">
      <c r="A146" s="330"/>
      <c r="B146" s="330"/>
      <c r="C146" s="330"/>
      <c r="D146" s="330"/>
      <c r="E146" s="330"/>
      <c r="F146" s="46"/>
      <c r="G146" s="46"/>
      <c r="O146" s="43"/>
      <c r="Q146" s="43"/>
      <c r="R146" s="46"/>
      <c r="S146" s="46"/>
      <c r="T146" s="43"/>
      <c r="U146" s="43"/>
      <c r="V146" s="43"/>
      <c r="W146" s="43"/>
      <c r="X146" s="46"/>
      <c r="Y146" s="43"/>
      <c r="Z146" s="43"/>
      <c r="AA146" s="77"/>
      <c r="AB146" s="43"/>
      <c r="AC146" s="43"/>
      <c r="AD146" s="43"/>
      <c r="AE146" s="43"/>
      <c r="AF146" s="43"/>
      <c r="AG146" s="7"/>
      <c r="AH146" s="88"/>
      <c r="AI146" s="88"/>
      <c r="AJ146" s="88"/>
      <c r="AK146" s="88"/>
      <c r="AL146" s="117">
        <v>11</v>
      </c>
    </row>
    <row r="147" spans="1:38" s="117" customFormat="1" ht="11.45" customHeight="1">
      <c r="A147" s="330"/>
      <c r="B147" s="330"/>
      <c r="C147" s="330"/>
      <c r="D147" s="330"/>
      <c r="E147" s="330"/>
      <c r="F147" s="46"/>
      <c r="G147" s="46"/>
      <c r="O147" s="43"/>
      <c r="Q147" s="43"/>
      <c r="R147" s="46"/>
      <c r="S147" s="46"/>
      <c r="T147" s="43"/>
      <c r="U147" s="43"/>
      <c r="V147" s="43"/>
      <c r="W147" s="43"/>
      <c r="X147" s="46"/>
      <c r="Y147" s="43"/>
      <c r="Z147" s="43"/>
      <c r="AA147" s="77"/>
      <c r="AB147" s="43"/>
      <c r="AC147" s="43"/>
      <c r="AD147" s="43"/>
      <c r="AE147" s="43"/>
      <c r="AF147" s="43"/>
      <c r="AG147" s="7"/>
      <c r="AH147" s="88"/>
      <c r="AI147" s="88"/>
      <c r="AJ147" s="88"/>
      <c r="AK147" s="88"/>
      <c r="AL147" s="117">
        <v>11</v>
      </c>
    </row>
    <row r="148" spans="1:38" s="117" customFormat="1" ht="11.45" customHeight="1">
      <c r="A148" s="330"/>
      <c r="B148" s="330"/>
      <c r="C148" s="330"/>
      <c r="D148" s="330"/>
      <c r="E148" s="330"/>
      <c r="F148" s="46"/>
      <c r="G148" s="46"/>
      <c r="O148" s="43"/>
      <c r="Q148" s="43"/>
      <c r="R148" s="46"/>
      <c r="S148" s="46"/>
      <c r="T148" s="43"/>
      <c r="U148" s="43"/>
      <c r="V148" s="43"/>
      <c r="W148" s="43"/>
      <c r="X148" s="46"/>
      <c r="Y148" s="43"/>
      <c r="Z148" s="43"/>
      <c r="AA148" s="77"/>
      <c r="AB148" s="43"/>
      <c r="AC148" s="43"/>
      <c r="AD148" s="43"/>
      <c r="AE148" s="43"/>
      <c r="AF148" s="43"/>
      <c r="AG148" s="7"/>
      <c r="AH148" s="88"/>
      <c r="AI148" s="88"/>
      <c r="AJ148" s="88"/>
      <c r="AK148" s="88"/>
      <c r="AL148" s="117">
        <v>11</v>
      </c>
    </row>
    <row r="149" spans="1:38" s="117" customFormat="1" ht="11.45" customHeight="1">
      <c r="A149" s="330"/>
      <c r="B149" s="330"/>
      <c r="C149" s="330"/>
      <c r="D149" s="330"/>
      <c r="E149" s="330"/>
      <c r="F149" s="46"/>
      <c r="G149" s="46"/>
      <c r="O149" s="43"/>
      <c r="Q149" s="43"/>
      <c r="R149" s="46"/>
      <c r="S149" s="46"/>
      <c r="T149" s="43"/>
      <c r="U149" s="43"/>
      <c r="V149" s="43"/>
      <c r="W149" s="43"/>
      <c r="X149" s="46"/>
      <c r="Y149" s="43"/>
      <c r="Z149" s="43"/>
      <c r="AA149" s="77"/>
      <c r="AB149" s="43"/>
      <c r="AC149" s="43"/>
      <c r="AD149" s="43"/>
      <c r="AE149" s="43"/>
      <c r="AF149" s="43"/>
      <c r="AG149" s="7"/>
      <c r="AH149" s="88"/>
      <c r="AI149" s="88"/>
      <c r="AJ149" s="88"/>
      <c r="AK149" s="88"/>
      <c r="AL149" s="117">
        <v>11</v>
      </c>
    </row>
    <row r="150" spans="1:38" s="117" customFormat="1" ht="11.45" customHeight="1">
      <c r="A150" s="330"/>
      <c r="B150" s="330"/>
      <c r="C150" s="330"/>
      <c r="D150" s="330"/>
      <c r="E150" s="330"/>
      <c r="F150" s="46"/>
      <c r="G150" s="46"/>
      <c r="O150" s="43"/>
      <c r="Q150" s="43"/>
      <c r="R150" s="46"/>
      <c r="S150" s="46"/>
      <c r="T150" s="43"/>
      <c r="U150" s="43"/>
      <c r="V150" s="43"/>
      <c r="W150" s="43"/>
      <c r="X150" s="46"/>
      <c r="Y150" s="43"/>
      <c r="Z150" s="43"/>
      <c r="AA150" s="77"/>
      <c r="AB150" s="43"/>
      <c r="AC150" s="43"/>
      <c r="AD150" s="43"/>
      <c r="AE150" s="43"/>
      <c r="AF150" s="43"/>
      <c r="AG150" s="7"/>
      <c r="AH150" s="88"/>
      <c r="AI150" s="88"/>
      <c r="AJ150" s="88"/>
      <c r="AK150" s="88"/>
      <c r="AL150" s="117">
        <v>11</v>
      </c>
    </row>
    <row r="151" spans="1:38" s="117" customFormat="1" ht="11.45" customHeight="1">
      <c r="A151" s="330"/>
      <c r="B151" s="330"/>
      <c r="C151" s="330"/>
      <c r="D151" s="330"/>
      <c r="E151" s="330"/>
      <c r="F151" s="46"/>
      <c r="G151" s="46"/>
      <c r="O151" s="43"/>
      <c r="Q151" s="43"/>
      <c r="R151" s="46"/>
      <c r="S151" s="46"/>
      <c r="T151" s="43"/>
      <c r="U151" s="43"/>
      <c r="V151" s="43"/>
      <c r="W151" s="43"/>
      <c r="X151" s="46"/>
      <c r="Y151" s="43"/>
      <c r="Z151" s="43"/>
      <c r="AA151" s="77"/>
      <c r="AB151" s="43"/>
      <c r="AC151" s="43"/>
      <c r="AD151" s="43"/>
      <c r="AE151" s="43"/>
      <c r="AF151" s="43"/>
      <c r="AG151" s="7"/>
      <c r="AH151" s="88"/>
      <c r="AI151" s="88"/>
      <c r="AJ151" s="88"/>
      <c r="AK151" s="88"/>
      <c r="AL151" s="117">
        <v>11</v>
      </c>
    </row>
    <row r="152" spans="1:38" s="117" customFormat="1" ht="11.45" customHeight="1">
      <c r="A152" s="330"/>
      <c r="B152" s="330"/>
      <c r="C152" s="330"/>
      <c r="D152" s="330"/>
      <c r="E152" s="330"/>
      <c r="F152" s="46"/>
      <c r="G152" s="46"/>
      <c r="O152" s="43"/>
      <c r="Q152" s="43"/>
      <c r="R152" s="46"/>
      <c r="S152" s="46"/>
      <c r="T152" s="43"/>
      <c r="U152" s="43"/>
      <c r="V152" s="43"/>
      <c r="W152" s="43"/>
      <c r="X152" s="46"/>
      <c r="Y152" s="43"/>
      <c r="Z152" s="43"/>
      <c r="AA152" s="77"/>
      <c r="AB152" s="43"/>
      <c r="AC152" s="43"/>
      <c r="AD152" s="43"/>
      <c r="AE152" s="43"/>
      <c r="AF152" s="43"/>
      <c r="AG152" s="7"/>
      <c r="AH152" s="88"/>
      <c r="AI152" s="88"/>
      <c r="AJ152" s="88"/>
      <c r="AK152" s="88"/>
      <c r="AL152" s="117">
        <v>11</v>
      </c>
    </row>
    <row r="153" spans="1:38" s="117" customFormat="1" ht="11.45" customHeight="1">
      <c r="A153" s="330"/>
      <c r="B153" s="330"/>
      <c r="C153" s="330"/>
      <c r="D153" s="330"/>
      <c r="E153" s="330"/>
      <c r="F153" s="46"/>
      <c r="G153" s="46"/>
      <c r="O153" s="43"/>
      <c r="Q153" s="43"/>
      <c r="R153" s="46"/>
      <c r="S153" s="46"/>
      <c r="T153" s="43"/>
      <c r="U153" s="43"/>
      <c r="V153" s="43"/>
      <c r="W153" s="43"/>
      <c r="X153" s="46"/>
      <c r="Y153" s="43"/>
      <c r="Z153" s="43"/>
      <c r="AA153" s="77"/>
      <c r="AB153" s="43"/>
      <c r="AC153" s="43"/>
      <c r="AD153" s="43"/>
      <c r="AE153" s="43"/>
      <c r="AF153" s="43"/>
      <c r="AG153" s="7"/>
      <c r="AH153" s="88"/>
      <c r="AI153" s="88"/>
      <c r="AJ153" s="88"/>
      <c r="AK153" s="88"/>
      <c r="AL153" s="117">
        <v>11</v>
      </c>
    </row>
    <row r="154" spans="1:38" s="117" customFormat="1" ht="11.45" customHeight="1">
      <c r="A154" s="330"/>
      <c r="B154" s="330"/>
      <c r="C154" s="330"/>
      <c r="D154" s="330"/>
      <c r="E154" s="330"/>
      <c r="F154" s="46"/>
      <c r="G154" s="46"/>
      <c r="O154" s="43"/>
      <c r="Q154" s="43"/>
      <c r="R154" s="46"/>
      <c r="S154" s="46"/>
      <c r="T154" s="43"/>
      <c r="U154" s="43"/>
      <c r="V154" s="43"/>
      <c r="W154" s="43"/>
      <c r="X154" s="46"/>
      <c r="Y154" s="43"/>
      <c r="Z154" s="43"/>
      <c r="AA154" s="77"/>
      <c r="AB154" s="43"/>
      <c r="AC154" s="43"/>
      <c r="AD154" s="43"/>
      <c r="AE154" s="43"/>
      <c r="AF154" s="43"/>
      <c r="AG154" s="7"/>
      <c r="AH154" s="88"/>
      <c r="AI154" s="88"/>
      <c r="AJ154" s="88"/>
      <c r="AK154" s="88"/>
      <c r="AL154" s="117">
        <v>11</v>
      </c>
    </row>
    <row r="155" spans="1:38" s="117" customFormat="1" ht="11.45" customHeight="1">
      <c r="A155" s="330"/>
      <c r="B155" s="330"/>
      <c r="C155" s="330"/>
      <c r="D155" s="330"/>
      <c r="E155" s="330"/>
      <c r="F155" s="46"/>
      <c r="G155" s="46"/>
      <c r="O155" s="43"/>
      <c r="Q155" s="43"/>
      <c r="R155" s="46"/>
      <c r="S155" s="46"/>
      <c r="T155" s="43"/>
      <c r="U155" s="43"/>
      <c r="V155" s="43"/>
      <c r="W155" s="43"/>
      <c r="X155" s="46"/>
      <c r="Y155" s="43"/>
      <c r="Z155" s="43"/>
      <c r="AA155" s="77"/>
      <c r="AB155" s="43"/>
      <c r="AC155" s="43"/>
      <c r="AD155" s="43"/>
      <c r="AE155" s="43"/>
      <c r="AF155" s="43"/>
      <c r="AG155" s="7"/>
      <c r="AH155" s="88"/>
      <c r="AI155" s="88"/>
      <c r="AJ155" s="88"/>
      <c r="AK155" s="88"/>
      <c r="AL155" s="117">
        <v>11</v>
      </c>
    </row>
    <row r="156" spans="1:38" s="117" customFormat="1" ht="11.45" customHeight="1">
      <c r="A156" s="330"/>
      <c r="B156" s="330"/>
      <c r="C156" s="330"/>
      <c r="D156" s="330"/>
      <c r="E156" s="330"/>
      <c r="F156" s="46"/>
      <c r="G156" s="46"/>
      <c r="O156" s="43"/>
      <c r="Q156" s="43"/>
      <c r="R156" s="46"/>
      <c r="S156" s="46"/>
      <c r="T156" s="43"/>
      <c r="U156" s="43"/>
      <c r="V156" s="43"/>
      <c r="W156" s="43"/>
      <c r="X156" s="46"/>
      <c r="Y156" s="43"/>
      <c r="Z156" s="43"/>
      <c r="AA156" s="77"/>
      <c r="AB156" s="43"/>
      <c r="AC156" s="43"/>
      <c r="AD156" s="43"/>
      <c r="AE156" s="43"/>
      <c r="AF156" s="43"/>
      <c r="AG156" s="7"/>
      <c r="AH156" s="88"/>
      <c r="AI156" s="88"/>
      <c r="AJ156" s="88"/>
      <c r="AK156" s="88"/>
      <c r="AL156" s="117">
        <v>11</v>
      </c>
    </row>
    <row r="157" spans="1:38" s="117" customFormat="1" ht="11.45" customHeight="1">
      <c r="A157" s="330"/>
      <c r="B157" s="330"/>
      <c r="C157" s="330"/>
      <c r="D157" s="330"/>
      <c r="E157" s="330"/>
      <c r="F157" s="46"/>
      <c r="G157" s="46"/>
      <c r="O157" s="43"/>
      <c r="Q157" s="43"/>
      <c r="R157" s="46"/>
      <c r="S157" s="46"/>
      <c r="T157" s="43"/>
      <c r="U157" s="43"/>
      <c r="V157" s="43"/>
      <c r="W157" s="43"/>
      <c r="X157" s="46"/>
      <c r="Y157" s="43"/>
      <c r="Z157" s="43"/>
      <c r="AA157" s="77"/>
      <c r="AB157" s="43"/>
      <c r="AC157" s="43"/>
      <c r="AD157" s="43"/>
      <c r="AE157" s="43"/>
      <c r="AF157" s="43"/>
      <c r="AG157" s="7"/>
      <c r="AH157" s="88"/>
      <c r="AI157" s="88"/>
      <c r="AJ157" s="88"/>
      <c r="AK157" s="88"/>
      <c r="AL157" s="117">
        <v>11</v>
      </c>
    </row>
    <row r="158" spans="1:38" s="117" customFormat="1" ht="11.45" customHeight="1">
      <c r="A158" s="330"/>
      <c r="B158" s="330"/>
      <c r="C158" s="330"/>
      <c r="D158" s="330"/>
      <c r="E158" s="330"/>
      <c r="F158" s="46"/>
      <c r="G158" s="46"/>
      <c r="O158" s="43"/>
      <c r="Q158" s="43"/>
      <c r="R158" s="46"/>
      <c r="S158" s="46"/>
      <c r="T158" s="43"/>
      <c r="U158" s="43"/>
      <c r="V158" s="43"/>
      <c r="W158" s="43"/>
      <c r="X158" s="46"/>
      <c r="Y158" s="43"/>
      <c r="Z158" s="43"/>
      <c r="AA158" s="77"/>
      <c r="AB158" s="43"/>
      <c r="AC158" s="43"/>
      <c r="AD158" s="43"/>
      <c r="AE158" s="43"/>
      <c r="AF158" s="43"/>
      <c r="AG158" s="7"/>
      <c r="AH158" s="88"/>
      <c r="AI158" s="88"/>
      <c r="AJ158" s="88"/>
      <c r="AK158" s="88"/>
      <c r="AL158" s="117">
        <v>11</v>
      </c>
    </row>
    <row r="159" spans="1:38" s="117" customFormat="1" ht="11.45" customHeight="1">
      <c r="A159" s="330"/>
      <c r="B159" s="330"/>
      <c r="C159" s="330"/>
      <c r="D159" s="330"/>
      <c r="E159" s="330"/>
      <c r="F159" s="46"/>
      <c r="G159" s="46"/>
      <c r="O159" s="43"/>
      <c r="Q159" s="43"/>
      <c r="R159" s="46"/>
      <c r="S159" s="46"/>
      <c r="T159" s="43"/>
      <c r="U159" s="43"/>
      <c r="V159" s="43"/>
      <c r="W159" s="43"/>
      <c r="X159" s="46"/>
      <c r="Y159" s="43"/>
      <c r="Z159" s="43"/>
      <c r="AA159" s="77"/>
      <c r="AB159" s="43"/>
      <c r="AC159" s="43"/>
      <c r="AD159" s="43"/>
      <c r="AE159" s="43"/>
      <c r="AF159" s="43"/>
      <c r="AG159" s="7"/>
      <c r="AH159" s="88"/>
      <c r="AI159" s="88"/>
      <c r="AJ159" s="88"/>
      <c r="AK159" s="88"/>
      <c r="AL159" s="117">
        <v>11</v>
      </c>
    </row>
    <row r="160" spans="1:38" s="117" customFormat="1" ht="11.45" customHeight="1">
      <c r="A160" s="330"/>
      <c r="B160" s="330"/>
      <c r="C160" s="330"/>
      <c r="D160" s="330"/>
      <c r="E160" s="330"/>
      <c r="F160" s="46"/>
      <c r="G160" s="46"/>
      <c r="O160" s="43"/>
      <c r="Q160" s="43"/>
      <c r="R160" s="46"/>
      <c r="S160" s="46"/>
      <c r="T160" s="43"/>
      <c r="U160" s="43"/>
      <c r="V160" s="43"/>
      <c r="W160" s="43"/>
      <c r="X160" s="46"/>
      <c r="Y160" s="43"/>
      <c r="Z160" s="43"/>
      <c r="AA160" s="77"/>
      <c r="AB160" s="43"/>
      <c r="AC160" s="43"/>
      <c r="AD160" s="43"/>
      <c r="AE160" s="43"/>
      <c r="AF160" s="43"/>
      <c r="AG160" s="7"/>
      <c r="AH160" s="88"/>
      <c r="AI160" s="88"/>
      <c r="AJ160" s="88"/>
      <c r="AK160" s="88"/>
      <c r="AL160" s="117">
        <v>11</v>
      </c>
    </row>
    <row r="161" spans="1:38" s="117" customFormat="1" ht="11.45" customHeight="1">
      <c r="A161" s="330"/>
      <c r="B161" s="330"/>
      <c r="C161" s="330"/>
      <c r="D161" s="330"/>
      <c r="E161" s="330"/>
      <c r="F161" s="46"/>
      <c r="G161" s="46"/>
      <c r="O161" s="43"/>
      <c r="Q161" s="43"/>
      <c r="R161" s="46"/>
      <c r="S161" s="46"/>
      <c r="T161" s="43"/>
      <c r="U161" s="43"/>
      <c r="V161" s="43"/>
      <c r="W161" s="43"/>
      <c r="X161" s="46"/>
      <c r="Y161" s="43"/>
      <c r="Z161" s="43"/>
      <c r="AA161" s="77"/>
      <c r="AB161" s="43"/>
      <c r="AC161" s="43"/>
      <c r="AD161" s="43"/>
      <c r="AE161" s="43"/>
      <c r="AF161" s="43"/>
      <c r="AG161" s="7"/>
      <c r="AH161" s="88"/>
      <c r="AI161" s="88"/>
      <c r="AJ161" s="88"/>
      <c r="AK161" s="88"/>
      <c r="AL161" s="117">
        <v>11</v>
      </c>
    </row>
    <row r="162" spans="1:38" s="117" customFormat="1" ht="11.45" customHeight="1">
      <c r="A162" s="330"/>
      <c r="B162" s="330"/>
      <c r="C162" s="330"/>
      <c r="D162" s="330"/>
      <c r="E162" s="330"/>
      <c r="F162" s="46"/>
      <c r="G162" s="46"/>
      <c r="O162" s="43"/>
      <c r="Q162" s="43"/>
      <c r="R162" s="46"/>
      <c r="S162" s="46"/>
      <c r="T162" s="43"/>
      <c r="U162" s="43"/>
      <c r="V162" s="43"/>
      <c r="W162" s="43"/>
      <c r="X162" s="46"/>
      <c r="Y162" s="43"/>
      <c r="Z162" s="43"/>
      <c r="AA162" s="77"/>
      <c r="AB162" s="43"/>
      <c r="AC162" s="43"/>
      <c r="AD162" s="43"/>
      <c r="AE162" s="43"/>
      <c r="AF162" s="43"/>
      <c r="AG162" s="7"/>
      <c r="AH162" s="88"/>
      <c r="AI162" s="88"/>
      <c r="AJ162" s="88"/>
      <c r="AK162" s="88"/>
      <c r="AL162" s="117">
        <v>11</v>
      </c>
    </row>
    <row r="163" spans="1:38" s="117" customFormat="1" ht="11.45" customHeight="1">
      <c r="A163" s="330"/>
      <c r="B163" s="330"/>
      <c r="C163" s="330"/>
      <c r="D163" s="330"/>
      <c r="E163" s="330"/>
      <c r="F163" s="46"/>
      <c r="G163" s="46"/>
      <c r="O163" s="43"/>
      <c r="Q163" s="43"/>
      <c r="R163" s="46"/>
      <c r="S163" s="46"/>
      <c r="T163" s="43"/>
      <c r="U163" s="43"/>
      <c r="V163" s="43"/>
      <c r="W163" s="43"/>
      <c r="X163" s="46"/>
      <c r="Y163" s="43"/>
      <c r="Z163" s="43"/>
      <c r="AA163" s="77"/>
      <c r="AB163" s="43"/>
      <c r="AC163" s="43"/>
      <c r="AD163" s="43"/>
      <c r="AE163" s="43"/>
      <c r="AF163" s="43"/>
      <c r="AG163" s="7"/>
      <c r="AH163" s="88"/>
      <c r="AI163" s="88"/>
      <c r="AJ163" s="88"/>
      <c r="AK163" s="88"/>
      <c r="AL163" s="117">
        <v>11</v>
      </c>
    </row>
    <row r="164" spans="1:38" s="117" customFormat="1" ht="11.45" customHeight="1">
      <c r="A164" s="330"/>
      <c r="B164" s="330"/>
      <c r="C164" s="330"/>
      <c r="D164" s="330"/>
      <c r="E164" s="330"/>
      <c r="F164" s="46"/>
      <c r="G164" s="46"/>
      <c r="O164" s="43"/>
      <c r="Q164" s="43"/>
      <c r="R164" s="46"/>
      <c r="S164" s="46"/>
      <c r="T164" s="43"/>
      <c r="U164" s="43"/>
      <c r="V164" s="43"/>
      <c r="W164" s="43"/>
      <c r="X164" s="46"/>
      <c r="Y164" s="43"/>
      <c r="Z164" s="43"/>
      <c r="AA164" s="77"/>
      <c r="AB164" s="43"/>
      <c r="AC164" s="43"/>
      <c r="AD164" s="43"/>
      <c r="AE164" s="43"/>
      <c r="AF164" s="43"/>
      <c r="AG164" s="7"/>
      <c r="AH164" s="88"/>
      <c r="AI164" s="88"/>
      <c r="AJ164" s="88"/>
      <c r="AK164" s="88"/>
      <c r="AL164" s="117">
        <v>11</v>
      </c>
    </row>
    <row r="165" spans="1:38" s="117" customFormat="1" ht="11.45" customHeight="1">
      <c r="A165" s="330"/>
      <c r="B165" s="330"/>
      <c r="C165" s="330"/>
      <c r="D165" s="330"/>
      <c r="E165" s="330"/>
      <c r="F165" s="46"/>
      <c r="G165" s="46"/>
      <c r="O165" s="43"/>
      <c r="Q165" s="43"/>
      <c r="R165" s="46"/>
      <c r="S165" s="46"/>
      <c r="T165" s="43"/>
      <c r="U165" s="43"/>
      <c r="V165" s="43"/>
      <c r="W165" s="43"/>
      <c r="X165" s="46"/>
      <c r="Y165" s="43"/>
      <c r="Z165" s="43"/>
      <c r="AA165" s="77"/>
      <c r="AB165" s="43"/>
      <c r="AC165" s="43"/>
      <c r="AD165" s="43"/>
      <c r="AE165" s="43"/>
      <c r="AF165" s="43"/>
      <c r="AG165" s="7"/>
      <c r="AH165" s="88"/>
      <c r="AI165" s="88"/>
      <c r="AJ165" s="88"/>
      <c r="AK165" s="88"/>
      <c r="AL165" s="117">
        <v>11</v>
      </c>
    </row>
    <row r="166" spans="1:38" s="117" customFormat="1" ht="11.45" customHeight="1">
      <c r="A166" s="330"/>
      <c r="B166" s="330"/>
      <c r="C166" s="330"/>
      <c r="D166" s="330"/>
      <c r="E166" s="330"/>
      <c r="F166" s="46"/>
      <c r="G166" s="46"/>
      <c r="O166" s="43"/>
      <c r="Q166" s="43"/>
      <c r="R166" s="46"/>
      <c r="S166" s="46"/>
      <c r="T166" s="43"/>
      <c r="U166" s="43"/>
      <c r="V166" s="43"/>
      <c r="W166" s="43"/>
      <c r="X166" s="46"/>
      <c r="Y166" s="43"/>
      <c r="Z166" s="43"/>
      <c r="AA166" s="77"/>
      <c r="AB166" s="43"/>
      <c r="AC166" s="43"/>
      <c r="AD166" s="43"/>
      <c r="AE166" s="43"/>
      <c r="AF166" s="43"/>
      <c r="AG166" s="7"/>
      <c r="AH166" s="88"/>
      <c r="AI166" s="88"/>
      <c r="AJ166" s="88"/>
      <c r="AK166" s="88"/>
      <c r="AL166" s="117">
        <v>11</v>
      </c>
    </row>
    <row r="167" spans="1:38" s="117" customFormat="1" ht="11.45" customHeight="1">
      <c r="A167" s="330"/>
      <c r="B167" s="330"/>
      <c r="C167" s="330"/>
      <c r="D167" s="330"/>
      <c r="E167" s="330"/>
      <c r="F167" s="46"/>
      <c r="G167" s="46"/>
      <c r="O167" s="43"/>
      <c r="Q167" s="43"/>
      <c r="R167" s="46"/>
      <c r="S167" s="46"/>
      <c r="T167" s="43"/>
      <c r="U167" s="43"/>
      <c r="V167" s="43"/>
      <c r="W167" s="43"/>
      <c r="X167" s="46"/>
      <c r="Y167" s="43"/>
      <c r="Z167" s="43"/>
      <c r="AA167" s="77"/>
      <c r="AB167" s="43"/>
      <c r="AC167" s="43"/>
      <c r="AD167" s="43"/>
      <c r="AE167" s="43"/>
      <c r="AF167" s="43"/>
      <c r="AG167" s="7"/>
      <c r="AH167" s="88"/>
      <c r="AI167" s="88"/>
      <c r="AJ167" s="88"/>
      <c r="AK167" s="88"/>
      <c r="AL167" s="117">
        <v>11</v>
      </c>
    </row>
    <row r="168" spans="1:38" s="117" customFormat="1" ht="11.45" customHeight="1">
      <c r="A168" s="330"/>
      <c r="B168" s="330"/>
      <c r="C168" s="330"/>
      <c r="D168" s="330"/>
      <c r="E168" s="330"/>
      <c r="F168" s="46"/>
      <c r="G168" s="46"/>
      <c r="O168" s="43"/>
      <c r="Q168" s="43"/>
      <c r="R168" s="46"/>
      <c r="S168" s="46"/>
      <c r="T168" s="43"/>
      <c r="U168" s="43"/>
      <c r="V168" s="43"/>
      <c r="W168" s="43"/>
      <c r="X168" s="46"/>
      <c r="Y168" s="43"/>
      <c r="Z168" s="43"/>
      <c r="AA168" s="77"/>
      <c r="AB168" s="43"/>
      <c r="AC168" s="43"/>
      <c r="AD168" s="43"/>
      <c r="AE168" s="43"/>
      <c r="AF168" s="43"/>
      <c r="AG168" s="7"/>
      <c r="AH168" s="88"/>
      <c r="AI168" s="88"/>
      <c r="AJ168" s="88"/>
      <c r="AK168" s="88"/>
      <c r="AL168" s="117">
        <v>11</v>
      </c>
    </row>
    <row r="169" spans="1:38" s="117" customFormat="1" ht="11.45" customHeight="1">
      <c r="A169" s="330"/>
      <c r="B169" s="330"/>
      <c r="C169" s="330"/>
      <c r="D169" s="330"/>
      <c r="E169" s="330"/>
      <c r="F169" s="46"/>
      <c r="G169" s="46"/>
      <c r="O169" s="43"/>
      <c r="Q169" s="43"/>
      <c r="R169" s="46"/>
      <c r="S169" s="46"/>
      <c r="T169" s="43"/>
      <c r="U169" s="43"/>
      <c r="V169" s="43"/>
      <c r="W169" s="43"/>
      <c r="X169" s="46"/>
      <c r="Y169" s="43"/>
      <c r="Z169" s="43"/>
      <c r="AA169" s="77"/>
      <c r="AB169" s="43"/>
      <c r="AC169" s="43"/>
      <c r="AD169" s="43"/>
      <c r="AE169" s="43"/>
      <c r="AF169" s="43"/>
      <c r="AG169" s="7"/>
      <c r="AH169" s="88"/>
      <c r="AI169" s="88"/>
      <c r="AJ169" s="88"/>
      <c r="AK169" s="88"/>
      <c r="AL169" s="117">
        <v>11</v>
      </c>
    </row>
    <row r="170" spans="1:38" s="117" customFormat="1" ht="11.45" customHeight="1">
      <c r="A170" s="330"/>
      <c r="B170" s="330"/>
      <c r="C170" s="330"/>
      <c r="D170" s="330"/>
      <c r="E170" s="330"/>
      <c r="F170" s="46"/>
      <c r="G170" s="46"/>
      <c r="O170" s="43"/>
      <c r="Q170" s="43"/>
      <c r="R170" s="46"/>
      <c r="S170" s="46"/>
      <c r="T170" s="43"/>
      <c r="U170" s="43"/>
      <c r="V170" s="43"/>
      <c r="W170" s="43"/>
      <c r="X170" s="46"/>
      <c r="Y170" s="43"/>
      <c r="Z170" s="43"/>
      <c r="AA170" s="77"/>
      <c r="AB170" s="43"/>
      <c r="AC170" s="43"/>
      <c r="AD170" s="43"/>
      <c r="AE170" s="43"/>
      <c r="AF170" s="43"/>
      <c r="AG170" s="7"/>
      <c r="AH170" s="88"/>
      <c r="AI170" s="88"/>
      <c r="AJ170" s="88"/>
      <c r="AK170" s="88"/>
      <c r="AL170" s="117">
        <v>11</v>
      </c>
    </row>
    <row r="171" spans="1:38" s="117" customFormat="1" ht="11.45" customHeight="1">
      <c r="A171" s="330"/>
      <c r="B171" s="330"/>
      <c r="C171" s="330"/>
      <c r="D171" s="330"/>
      <c r="E171" s="330"/>
      <c r="F171" s="46"/>
      <c r="G171" s="46"/>
      <c r="O171" s="43"/>
      <c r="Q171" s="43"/>
      <c r="R171" s="46"/>
      <c r="S171" s="46"/>
      <c r="T171" s="43"/>
      <c r="U171" s="43"/>
      <c r="V171" s="43"/>
      <c r="W171" s="43"/>
      <c r="X171" s="46"/>
      <c r="Y171" s="43"/>
      <c r="Z171" s="43"/>
      <c r="AA171" s="77"/>
      <c r="AB171" s="43"/>
      <c r="AC171" s="43"/>
      <c r="AD171" s="43"/>
      <c r="AE171" s="43"/>
      <c r="AF171" s="43"/>
      <c r="AG171" s="7"/>
      <c r="AH171" s="88"/>
      <c r="AI171" s="88"/>
      <c r="AJ171" s="88"/>
      <c r="AK171" s="88"/>
      <c r="AL171" s="117">
        <v>11</v>
      </c>
    </row>
    <row r="172" spans="1:38" s="117" customFormat="1" ht="11.45" customHeight="1">
      <c r="A172" s="330"/>
      <c r="B172" s="330"/>
      <c r="C172" s="330"/>
      <c r="D172" s="330"/>
      <c r="E172" s="330"/>
      <c r="F172" s="46"/>
      <c r="G172" s="46"/>
      <c r="O172" s="43"/>
      <c r="Q172" s="43"/>
      <c r="R172" s="46"/>
      <c r="S172" s="46"/>
      <c r="T172" s="43"/>
      <c r="U172" s="43"/>
      <c r="V172" s="43"/>
      <c r="W172" s="43"/>
      <c r="X172" s="46"/>
      <c r="Y172" s="43"/>
      <c r="Z172" s="43"/>
      <c r="AA172" s="77"/>
      <c r="AB172" s="43"/>
      <c r="AC172" s="43"/>
      <c r="AD172" s="43"/>
      <c r="AE172" s="43"/>
      <c r="AF172" s="43"/>
      <c r="AG172" s="7"/>
      <c r="AH172" s="88"/>
      <c r="AI172" s="88"/>
      <c r="AJ172" s="88"/>
      <c r="AK172" s="88"/>
      <c r="AL172" s="117">
        <v>11</v>
      </c>
    </row>
    <row r="173" spans="1:38" s="117" customFormat="1" ht="11.45" customHeight="1">
      <c r="A173" s="330"/>
      <c r="B173" s="330"/>
      <c r="C173" s="330"/>
      <c r="D173" s="330"/>
      <c r="E173" s="330"/>
      <c r="F173" s="46"/>
      <c r="G173" s="46"/>
      <c r="O173" s="43"/>
      <c r="Q173" s="43"/>
      <c r="R173" s="46"/>
      <c r="S173" s="46"/>
      <c r="T173" s="43"/>
      <c r="U173" s="43"/>
      <c r="V173" s="43"/>
      <c r="W173" s="43"/>
      <c r="X173" s="46"/>
      <c r="Y173" s="43"/>
      <c r="Z173" s="43"/>
      <c r="AA173" s="77"/>
      <c r="AB173" s="43"/>
      <c r="AC173" s="43"/>
      <c r="AD173" s="43"/>
      <c r="AE173" s="43"/>
      <c r="AF173" s="43"/>
      <c r="AG173" s="7"/>
      <c r="AH173" s="88"/>
      <c r="AI173" s="88"/>
      <c r="AJ173" s="88"/>
      <c r="AK173" s="88"/>
      <c r="AL173" s="117">
        <v>11</v>
      </c>
    </row>
    <row r="174" spans="1:38" s="117" customFormat="1" ht="11.45" customHeight="1">
      <c r="A174" s="330"/>
      <c r="B174" s="330"/>
      <c r="C174" s="330"/>
      <c r="D174" s="330"/>
      <c r="E174" s="330"/>
      <c r="F174" s="46"/>
      <c r="G174" s="46"/>
      <c r="O174" s="43"/>
      <c r="Q174" s="43"/>
      <c r="R174" s="46"/>
      <c r="S174" s="46"/>
      <c r="T174" s="43"/>
      <c r="U174" s="43"/>
      <c r="V174" s="43"/>
      <c r="W174" s="43"/>
      <c r="X174" s="46"/>
      <c r="Y174" s="43"/>
      <c r="Z174" s="43"/>
      <c r="AA174" s="77"/>
      <c r="AB174" s="43"/>
      <c r="AC174" s="43"/>
      <c r="AD174" s="43"/>
      <c r="AE174" s="43"/>
      <c r="AF174" s="43"/>
      <c r="AG174" s="7"/>
      <c r="AH174" s="88"/>
      <c r="AI174" s="88"/>
      <c r="AJ174" s="88"/>
      <c r="AK174" s="88"/>
      <c r="AL174" s="117">
        <v>11</v>
      </c>
    </row>
    <row r="175" spans="1:38" s="117" customFormat="1" ht="11.45" customHeight="1">
      <c r="A175" s="330"/>
      <c r="B175" s="330"/>
      <c r="C175" s="330"/>
      <c r="D175" s="330"/>
      <c r="E175" s="330"/>
      <c r="F175" s="46"/>
      <c r="G175" s="46"/>
      <c r="O175" s="43"/>
      <c r="Q175" s="43"/>
      <c r="R175" s="46"/>
      <c r="S175" s="46"/>
      <c r="T175" s="43"/>
      <c r="U175" s="43"/>
      <c r="V175" s="43"/>
      <c r="W175" s="43"/>
      <c r="X175" s="46"/>
      <c r="Y175" s="43"/>
      <c r="Z175" s="43"/>
      <c r="AA175" s="77"/>
      <c r="AB175" s="43"/>
      <c r="AC175" s="43"/>
      <c r="AD175" s="43"/>
      <c r="AE175" s="43"/>
      <c r="AF175" s="43"/>
      <c r="AG175" s="7"/>
      <c r="AH175" s="88"/>
      <c r="AI175" s="88"/>
      <c r="AJ175" s="88"/>
      <c r="AK175" s="88"/>
      <c r="AL175" s="117">
        <v>11</v>
      </c>
    </row>
    <row r="176" spans="1:38" s="117" customFormat="1" ht="11.45" customHeight="1">
      <c r="A176" s="330"/>
      <c r="B176" s="330"/>
      <c r="C176" s="330"/>
      <c r="D176" s="330"/>
      <c r="E176" s="330"/>
      <c r="F176" s="46"/>
      <c r="G176" s="46"/>
      <c r="O176" s="43"/>
      <c r="Q176" s="43"/>
      <c r="R176" s="46"/>
      <c r="S176" s="46"/>
      <c r="T176" s="43"/>
      <c r="U176" s="43"/>
      <c r="V176" s="43"/>
      <c r="W176" s="43"/>
      <c r="X176" s="46"/>
      <c r="Y176" s="43"/>
      <c r="Z176" s="43"/>
      <c r="AA176" s="77"/>
      <c r="AB176" s="43"/>
      <c r="AC176" s="43"/>
      <c r="AD176" s="43"/>
      <c r="AE176" s="43"/>
      <c r="AF176" s="43"/>
      <c r="AG176" s="7"/>
      <c r="AH176" s="88"/>
      <c r="AI176" s="88"/>
      <c r="AJ176" s="88"/>
      <c r="AK176" s="88"/>
      <c r="AL176" s="117">
        <v>11</v>
      </c>
    </row>
    <row r="177" spans="1:38" s="117" customFormat="1" ht="11.45" customHeight="1">
      <c r="A177" s="330"/>
      <c r="B177" s="330"/>
      <c r="C177" s="330"/>
      <c r="D177" s="330"/>
      <c r="E177" s="330"/>
      <c r="F177" s="46"/>
      <c r="G177" s="46"/>
      <c r="O177" s="43"/>
      <c r="Q177" s="43"/>
      <c r="R177" s="46"/>
      <c r="S177" s="46"/>
      <c r="T177" s="43"/>
      <c r="U177" s="43"/>
      <c r="V177" s="43"/>
      <c r="W177" s="43"/>
      <c r="X177" s="46"/>
      <c r="Y177" s="43"/>
      <c r="Z177" s="43"/>
      <c r="AA177" s="77"/>
      <c r="AB177" s="43"/>
      <c r="AC177" s="43"/>
      <c r="AD177" s="43"/>
      <c r="AE177" s="43"/>
      <c r="AF177" s="43"/>
      <c r="AG177" s="7"/>
      <c r="AH177" s="88"/>
      <c r="AI177" s="88"/>
      <c r="AJ177" s="88"/>
      <c r="AK177" s="88"/>
      <c r="AL177" s="117">
        <v>11</v>
      </c>
    </row>
    <row r="178" spans="1:38" s="117" customFormat="1" ht="11.45" customHeight="1">
      <c r="A178" s="330"/>
      <c r="B178" s="330"/>
      <c r="C178" s="330"/>
      <c r="D178" s="330"/>
      <c r="E178" s="330"/>
      <c r="F178" s="46"/>
      <c r="G178" s="46"/>
      <c r="O178" s="43"/>
      <c r="Q178" s="43"/>
      <c r="R178" s="46"/>
      <c r="S178" s="46"/>
      <c r="T178" s="43"/>
      <c r="U178" s="43"/>
      <c r="V178" s="43"/>
      <c r="W178" s="43"/>
      <c r="X178" s="46"/>
      <c r="Y178" s="43"/>
      <c r="Z178" s="43"/>
      <c r="AA178" s="77"/>
      <c r="AB178" s="43"/>
      <c r="AC178" s="43"/>
      <c r="AD178" s="43"/>
      <c r="AE178" s="43"/>
      <c r="AF178" s="43"/>
      <c r="AG178" s="7"/>
      <c r="AH178" s="88"/>
      <c r="AI178" s="88"/>
      <c r="AJ178" s="88"/>
      <c r="AK178" s="88"/>
      <c r="AL178" s="117">
        <v>11</v>
      </c>
    </row>
    <row r="179" spans="1:38" s="117" customFormat="1" ht="11.45" customHeight="1">
      <c r="A179" s="330"/>
      <c r="B179" s="330"/>
      <c r="C179" s="330"/>
      <c r="D179" s="330"/>
      <c r="E179" s="330"/>
      <c r="F179" s="46"/>
      <c r="G179" s="46"/>
      <c r="O179" s="43"/>
      <c r="Q179" s="43"/>
      <c r="R179" s="46"/>
      <c r="S179" s="46"/>
      <c r="T179" s="43"/>
      <c r="U179" s="43"/>
      <c r="V179" s="43"/>
      <c r="W179" s="43"/>
      <c r="X179" s="46"/>
      <c r="Y179" s="43"/>
      <c r="Z179" s="43"/>
      <c r="AA179" s="77"/>
      <c r="AB179" s="43"/>
      <c r="AC179" s="43"/>
      <c r="AD179" s="43"/>
      <c r="AE179" s="43"/>
      <c r="AF179" s="43"/>
      <c r="AG179" s="7"/>
      <c r="AH179" s="88"/>
      <c r="AI179" s="88"/>
      <c r="AJ179" s="88"/>
      <c r="AK179" s="88"/>
      <c r="AL179" s="117">
        <v>11</v>
      </c>
    </row>
    <row r="180" spans="1:38" s="117" customFormat="1" ht="11.45" customHeight="1">
      <c r="A180" s="330"/>
      <c r="B180" s="330"/>
      <c r="C180" s="330"/>
      <c r="D180" s="330"/>
      <c r="E180" s="330"/>
      <c r="F180" s="46"/>
      <c r="G180" s="46"/>
      <c r="O180" s="43"/>
      <c r="Q180" s="43"/>
      <c r="R180" s="46"/>
      <c r="S180" s="46"/>
      <c r="T180" s="43"/>
      <c r="U180" s="43"/>
      <c r="V180" s="43"/>
      <c r="W180" s="43"/>
      <c r="X180" s="46"/>
      <c r="Y180" s="43"/>
      <c r="Z180" s="43"/>
      <c r="AA180" s="77"/>
      <c r="AB180" s="43"/>
      <c r="AC180" s="43"/>
      <c r="AD180" s="43"/>
      <c r="AE180" s="43"/>
      <c r="AF180" s="43"/>
      <c r="AG180" s="7"/>
      <c r="AH180" s="88"/>
      <c r="AI180" s="88"/>
      <c r="AJ180" s="88"/>
      <c r="AK180" s="88"/>
      <c r="AL180" s="117">
        <v>11</v>
      </c>
    </row>
    <row r="181" spans="1:38" s="117" customFormat="1" ht="11.45" customHeight="1">
      <c r="A181" s="330"/>
      <c r="B181" s="330"/>
      <c r="C181" s="330"/>
      <c r="D181" s="330"/>
      <c r="E181" s="330"/>
      <c r="F181" s="46"/>
      <c r="G181" s="46"/>
      <c r="O181" s="43"/>
      <c r="Q181" s="43"/>
      <c r="R181" s="46"/>
      <c r="S181" s="46"/>
      <c r="T181" s="43"/>
      <c r="U181" s="43"/>
      <c r="V181" s="43"/>
      <c r="W181" s="43"/>
      <c r="X181" s="46"/>
      <c r="Y181" s="43"/>
      <c r="Z181" s="43"/>
      <c r="AA181" s="77"/>
      <c r="AB181" s="43"/>
      <c r="AC181" s="43"/>
      <c r="AD181" s="43"/>
      <c r="AE181" s="43"/>
      <c r="AF181" s="43"/>
      <c r="AG181" s="7"/>
      <c r="AH181" s="88"/>
      <c r="AI181" s="88"/>
      <c r="AJ181" s="88"/>
      <c r="AK181" s="88"/>
      <c r="AL181" s="117">
        <v>11</v>
      </c>
    </row>
    <row r="182" spans="1:38" s="117" customFormat="1" ht="11.45" customHeight="1">
      <c r="A182" s="330"/>
      <c r="B182" s="330"/>
      <c r="C182" s="330"/>
      <c r="D182" s="330"/>
      <c r="E182" s="330"/>
      <c r="F182" s="46"/>
      <c r="G182" s="46"/>
      <c r="O182" s="43"/>
      <c r="Q182" s="43"/>
      <c r="R182" s="46"/>
      <c r="S182" s="46"/>
      <c r="T182" s="43"/>
      <c r="U182" s="43"/>
      <c r="V182" s="43"/>
      <c r="W182" s="43"/>
      <c r="X182" s="46"/>
      <c r="Y182" s="43"/>
      <c r="Z182" s="43"/>
      <c r="AA182" s="77"/>
      <c r="AB182" s="43"/>
      <c r="AC182" s="43"/>
      <c r="AD182" s="43"/>
      <c r="AE182" s="43"/>
      <c r="AF182" s="43"/>
      <c r="AG182" s="7"/>
      <c r="AH182" s="88"/>
      <c r="AI182" s="88"/>
      <c r="AJ182" s="88"/>
      <c r="AK182" s="88"/>
      <c r="AL182" s="117">
        <v>11</v>
      </c>
    </row>
    <row r="183" spans="1:38" s="117" customFormat="1" ht="11.45" customHeight="1">
      <c r="A183" s="330"/>
      <c r="B183" s="330"/>
      <c r="C183" s="330"/>
      <c r="D183" s="330"/>
      <c r="E183" s="330"/>
      <c r="F183" s="46"/>
      <c r="G183" s="46"/>
      <c r="O183" s="43"/>
      <c r="Q183" s="43"/>
      <c r="R183" s="46"/>
      <c r="S183" s="46"/>
      <c r="T183" s="43"/>
      <c r="U183" s="43"/>
      <c r="V183" s="43"/>
      <c r="W183" s="43"/>
      <c r="X183" s="46"/>
      <c r="Y183" s="43"/>
      <c r="Z183" s="43"/>
      <c r="AA183" s="77"/>
      <c r="AB183" s="43"/>
      <c r="AC183" s="43"/>
      <c r="AD183" s="43"/>
      <c r="AE183" s="43"/>
      <c r="AF183" s="43"/>
      <c r="AG183" s="7"/>
      <c r="AH183" s="88"/>
      <c r="AI183" s="88"/>
      <c r="AJ183" s="88"/>
      <c r="AK183" s="88"/>
      <c r="AL183" s="117">
        <v>11</v>
      </c>
    </row>
    <row r="184" spans="1:38" s="117" customFormat="1" ht="11.45" customHeight="1">
      <c r="A184" s="330"/>
      <c r="B184" s="330"/>
      <c r="C184" s="330"/>
      <c r="D184" s="330"/>
      <c r="E184" s="330"/>
      <c r="F184" s="46"/>
      <c r="G184" s="46"/>
      <c r="O184" s="43"/>
      <c r="Q184" s="43"/>
      <c r="R184" s="46"/>
      <c r="S184" s="46"/>
      <c r="T184" s="43"/>
      <c r="U184" s="43"/>
      <c r="V184" s="43"/>
      <c r="W184" s="43"/>
      <c r="X184" s="46"/>
      <c r="Y184" s="43"/>
      <c r="Z184" s="43"/>
      <c r="AA184" s="77"/>
      <c r="AB184" s="43"/>
      <c r="AC184" s="43"/>
      <c r="AD184" s="43"/>
      <c r="AE184" s="43"/>
      <c r="AF184" s="43"/>
      <c r="AG184" s="7"/>
      <c r="AH184" s="88"/>
      <c r="AI184" s="88"/>
      <c r="AJ184" s="88"/>
      <c r="AK184" s="88"/>
      <c r="AL184" s="117">
        <v>11</v>
      </c>
    </row>
    <row r="185" spans="1:38" s="117" customFormat="1" ht="11.45" customHeight="1">
      <c r="A185" s="330"/>
      <c r="B185" s="330"/>
      <c r="C185" s="330"/>
      <c r="D185" s="330"/>
      <c r="E185" s="330"/>
      <c r="F185" s="46"/>
      <c r="G185" s="46"/>
      <c r="O185" s="43"/>
      <c r="Q185" s="43"/>
      <c r="R185" s="46"/>
      <c r="S185" s="46"/>
      <c r="T185" s="43"/>
      <c r="U185" s="43"/>
      <c r="V185" s="43"/>
      <c r="W185" s="43"/>
      <c r="X185" s="46"/>
      <c r="Y185" s="43"/>
      <c r="Z185" s="43"/>
      <c r="AA185" s="77"/>
      <c r="AB185" s="43"/>
      <c r="AC185" s="43"/>
      <c r="AD185" s="43"/>
      <c r="AE185" s="43"/>
      <c r="AF185" s="43"/>
      <c r="AG185" s="7"/>
      <c r="AH185" s="88"/>
      <c r="AI185" s="88"/>
      <c r="AJ185" s="88"/>
      <c r="AK185" s="88"/>
      <c r="AL185" s="117">
        <v>11</v>
      </c>
    </row>
    <row r="186" spans="1:38" s="117" customFormat="1" ht="11.45" customHeight="1">
      <c r="A186" s="330"/>
      <c r="B186" s="330"/>
      <c r="C186" s="330"/>
      <c r="D186" s="330"/>
      <c r="E186" s="330"/>
      <c r="F186" s="46"/>
      <c r="G186" s="46"/>
      <c r="O186" s="43"/>
      <c r="Q186" s="43"/>
      <c r="R186" s="46"/>
      <c r="S186" s="46"/>
      <c r="T186" s="43"/>
      <c r="U186" s="43"/>
      <c r="V186" s="43"/>
      <c r="W186" s="43"/>
      <c r="X186" s="46"/>
      <c r="Y186" s="43"/>
      <c r="Z186" s="43"/>
      <c r="AA186" s="77"/>
      <c r="AB186" s="43"/>
      <c r="AC186" s="43"/>
      <c r="AD186" s="43"/>
      <c r="AE186" s="43"/>
      <c r="AF186" s="43"/>
      <c r="AG186" s="7"/>
      <c r="AH186" s="88"/>
      <c r="AI186" s="88"/>
      <c r="AJ186" s="88"/>
      <c r="AK186" s="88"/>
      <c r="AL186" s="117">
        <v>11</v>
      </c>
    </row>
    <row r="187" spans="1:38" s="117" customFormat="1" ht="11.45" customHeight="1">
      <c r="A187" s="330"/>
      <c r="B187" s="330"/>
      <c r="C187" s="330"/>
      <c r="D187" s="330"/>
      <c r="E187" s="330"/>
      <c r="F187" s="46"/>
      <c r="G187" s="46"/>
      <c r="O187" s="43"/>
      <c r="Q187" s="43"/>
      <c r="R187" s="46"/>
      <c r="S187" s="46"/>
      <c r="T187" s="43"/>
      <c r="U187" s="43"/>
      <c r="V187" s="43"/>
      <c r="W187" s="43"/>
      <c r="X187" s="46"/>
      <c r="Y187" s="43"/>
      <c r="Z187" s="43"/>
      <c r="AA187" s="77"/>
      <c r="AB187" s="43"/>
      <c r="AC187" s="43"/>
      <c r="AD187" s="43"/>
      <c r="AE187" s="43"/>
      <c r="AF187" s="43"/>
      <c r="AG187" s="7"/>
      <c r="AH187" s="88"/>
      <c r="AI187" s="88"/>
      <c r="AJ187" s="88"/>
      <c r="AK187" s="88"/>
      <c r="AL187" s="117">
        <v>11</v>
      </c>
    </row>
    <row r="188" spans="1:38" s="117" customFormat="1" ht="11.45" customHeight="1">
      <c r="A188" s="330"/>
      <c r="B188" s="330"/>
      <c r="C188" s="330"/>
      <c r="D188" s="330"/>
      <c r="E188" s="330"/>
      <c r="F188" s="46"/>
      <c r="G188" s="46"/>
      <c r="O188" s="43"/>
      <c r="Q188" s="43"/>
      <c r="R188" s="46"/>
      <c r="S188" s="46"/>
      <c r="T188" s="43"/>
      <c r="U188" s="43"/>
      <c r="V188" s="43"/>
      <c r="W188" s="43"/>
      <c r="X188" s="46"/>
      <c r="Y188" s="43"/>
      <c r="Z188" s="43"/>
      <c r="AA188" s="77"/>
      <c r="AB188" s="43"/>
      <c r="AC188" s="43"/>
      <c r="AD188" s="43"/>
      <c r="AE188" s="43"/>
      <c r="AF188" s="43"/>
      <c r="AG188" s="7"/>
      <c r="AH188" s="88"/>
      <c r="AI188" s="88"/>
      <c r="AJ188" s="88"/>
      <c r="AK188" s="88"/>
      <c r="AL188" s="117">
        <v>11</v>
      </c>
    </row>
    <row r="189" spans="1:38" s="117" customFormat="1" ht="11.45" customHeight="1">
      <c r="A189" s="330"/>
      <c r="B189" s="330"/>
      <c r="C189" s="330"/>
      <c r="D189" s="330"/>
      <c r="E189" s="330"/>
      <c r="F189" s="46"/>
      <c r="G189" s="46"/>
      <c r="O189" s="43"/>
      <c r="Q189" s="43"/>
      <c r="R189" s="46"/>
      <c r="S189" s="46"/>
      <c r="T189" s="43"/>
      <c r="U189" s="43"/>
      <c r="V189" s="43"/>
      <c r="W189" s="43"/>
      <c r="X189" s="46"/>
      <c r="Y189" s="43"/>
      <c r="Z189" s="43"/>
      <c r="AA189" s="77"/>
      <c r="AB189" s="43"/>
      <c r="AC189" s="43"/>
      <c r="AD189" s="43"/>
      <c r="AE189" s="43"/>
      <c r="AF189" s="43"/>
      <c r="AG189" s="7"/>
      <c r="AH189" s="88"/>
      <c r="AI189" s="88"/>
      <c r="AJ189" s="88"/>
      <c r="AK189" s="88"/>
      <c r="AL189" s="117">
        <v>11</v>
      </c>
    </row>
    <row r="190" spans="1:38" ht="11.45" customHeight="1">
      <c r="AL190" s="4">
        <v>11</v>
      </c>
    </row>
    <row r="191" spans="1:38" ht="11.45" customHeight="1">
      <c r="AL191" s="4">
        <v>11</v>
      </c>
    </row>
    <row r="192" spans="1:38" ht="11.45" customHeight="1">
      <c r="AL192" s="4">
        <v>11</v>
      </c>
    </row>
    <row r="193" spans="1:38" ht="11.45" customHeight="1">
      <c r="A193" s="255"/>
      <c r="B193" s="255"/>
      <c r="C193" s="255"/>
      <c r="D193" s="255"/>
      <c r="E193" s="255"/>
      <c r="F193" s="4"/>
      <c r="O193" s="4"/>
      <c r="Q193" s="4"/>
      <c r="T193" s="4"/>
      <c r="U193" s="4"/>
      <c r="V193" s="4"/>
      <c r="W193" s="4"/>
      <c r="Y193" s="4"/>
      <c r="Z193" s="4"/>
      <c r="AA193" s="4"/>
      <c r="AB193" s="4"/>
      <c r="AC193" s="4"/>
      <c r="AD193" s="4"/>
      <c r="AE193" s="4"/>
      <c r="AF193" s="4"/>
      <c r="AG193" s="4"/>
      <c r="AH193" s="4"/>
      <c r="AI193" s="4"/>
      <c r="AJ193" s="4"/>
      <c r="AK193" s="4"/>
      <c r="AL193" s="4">
        <v>11</v>
      </c>
    </row>
    <row r="194" spans="1:38" ht="11.45" customHeight="1">
      <c r="A194" s="255"/>
      <c r="B194" s="255"/>
      <c r="C194" s="255"/>
      <c r="D194" s="255"/>
      <c r="E194" s="255"/>
      <c r="F194" s="4"/>
      <c r="O194" s="4"/>
      <c r="Q194" s="4"/>
      <c r="T194" s="4"/>
      <c r="U194" s="4"/>
      <c r="V194" s="4"/>
      <c r="W194" s="4"/>
      <c r="Y194" s="4"/>
      <c r="Z194" s="4"/>
      <c r="AA194" s="4"/>
      <c r="AB194" s="4"/>
      <c r="AC194" s="4"/>
      <c r="AD194" s="4"/>
      <c r="AE194" s="4"/>
      <c r="AF194" s="4"/>
      <c r="AG194" s="4"/>
      <c r="AH194" s="4"/>
      <c r="AI194" s="4"/>
      <c r="AJ194" s="4"/>
      <c r="AK194" s="4"/>
      <c r="AL194" s="4">
        <v>11</v>
      </c>
    </row>
    <row r="195" spans="1:38" ht="11.45" customHeight="1">
      <c r="A195" s="255"/>
      <c r="B195" s="255"/>
      <c r="C195" s="255"/>
      <c r="D195" s="255"/>
      <c r="E195" s="255"/>
      <c r="F195" s="4"/>
      <c r="O195" s="4"/>
      <c r="Q195" s="4"/>
      <c r="T195" s="4"/>
      <c r="U195" s="4"/>
      <c r="V195" s="4"/>
      <c r="W195" s="4"/>
      <c r="Y195" s="4"/>
      <c r="Z195" s="4"/>
      <c r="AA195" s="4"/>
      <c r="AB195" s="4"/>
      <c r="AC195" s="4"/>
      <c r="AD195" s="4"/>
      <c r="AE195" s="4"/>
      <c r="AF195" s="4"/>
      <c r="AG195" s="4"/>
      <c r="AH195" s="4"/>
      <c r="AI195" s="4"/>
      <c r="AJ195" s="4"/>
      <c r="AK195" s="4"/>
      <c r="AL195" s="4">
        <v>11</v>
      </c>
    </row>
    <row r="196" spans="1:38" ht="11.45" customHeight="1">
      <c r="A196" s="255"/>
      <c r="B196" s="255"/>
      <c r="C196" s="255"/>
      <c r="D196" s="255"/>
      <c r="E196" s="255"/>
      <c r="F196" s="4"/>
      <c r="O196" s="4"/>
      <c r="Q196" s="4"/>
      <c r="T196" s="4"/>
      <c r="U196" s="4"/>
      <c r="V196" s="4"/>
      <c r="W196" s="4"/>
      <c r="Y196" s="4"/>
      <c r="Z196" s="4"/>
      <c r="AA196" s="4"/>
      <c r="AB196" s="4"/>
      <c r="AC196" s="4"/>
      <c r="AD196" s="4"/>
      <c r="AE196" s="4"/>
      <c r="AF196" s="4"/>
      <c r="AG196" s="4"/>
      <c r="AH196" s="4"/>
      <c r="AI196" s="4"/>
      <c r="AJ196" s="4"/>
      <c r="AK196" s="4"/>
      <c r="AL196" s="4">
        <v>11</v>
      </c>
    </row>
    <row r="197" spans="1:38" ht="11.45" customHeight="1">
      <c r="A197" s="255"/>
      <c r="B197" s="255"/>
      <c r="C197" s="255"/>
      <c r="D197" s="255"/>
      <c r="E197" s="255"/>
      <c r="F197" s="4"/>
      <c r="O197" s="4"/>
      <c r="Q197" s="4"/>
      <c r="T197" s="4"/>
      <c r="U197" s="4"/>
      <c r="V197" s="4"/>
      <c r="W197" s="4"/>
      <c r="Y197" s="4"/>
      <c r="Z197" s="4"/>
      <c r="AA197" s="4"/>
      <c r="AB197" s="4"/>
      <c r="AC197" s="4"/>
      <c r="AD197" s="4"/>
      <c r="AE197" s="4"/>
      <c r="AF197" s="4"/>
      <c r="AG197" s="4"/>
      <c r="AH197" s="4"/>
      <c r="AI197" s="4"/>
      <c r="AJ197" s="4"/>
      <c r="AK197" s="4"/>
      <c r="AL197" s="4">
        <v>11</v>
      </c>
    </row>
    <row r="198" spans="1:38" ht="11.45" customHeight="1">
      <c r="A198" s="255"/>
      <c r="B198" s="255"/>
      <c r="C198" s="255"/>
      <c r="D198" s="255"/>
      <c r="E198" s="255"/>
      <c r="F198" s="4"/>
      <c r="O198" s="4"/>
      <c r="Q198" s="4"/>
      <c r="T198" s="4"/>
      <c r="U198" s="4"/>
      <c r="V198" s="4"/>
      <c r="W198" s="4"/>
      <c r="Y198" s="4"/>
      <c r="Z198" s="4"/>
      <c r="AA198" s="4"/>
      <c r="AB198" s="4"/>
      <c r="AC198" s="4"/>
      <c r="AD198" s="4"/>
      <c r="AE198" s="4"/>
      <c r="AF198" s="4"/>
      <c r="AG198" s="4"/>
      <c r="AH198" s="4"/>
      <c r="AI198" s="4"/>
      <c r="AJ198" s="4"/>
      <c r="AK198" s="4"/>
      <c r="AL198" s="4">
        <v>11</v>
      </c>
    </row>
    <row r="199" spans="1:38" ht="11.45" customHeight="1">
      <c r="A199" s="255"/>
      <c r="B199" s="255"/>
      <c r="C199" s="255"/>
      <c r="D199" s="255"/>
      <c r="E199" s="255"/>
      <c r="F199" s="4"/>
      <c r="O199" s="4"/>
      <c r="Q199" s="4"/>
      <c r="T199" s="4"/>
      <c r="U199" s="4"/>
      <c r="V199" s="4"/>
      <c r="W199" s="4"/>
      <c r="Y199" s="4"/>
      <c r="Z199" s="4"/>
      <c r="AA199" s="4"/>
      <c r="AB199" s="4"/>
      <c r="AC199" s="4"/>
      <c r="AD199" s="4"/>
      <c r="AE199" s="4"/>
      <c r="AF199" s="4"/>
      <c r="AG199" s="4"/>
      <c r="AH199" s="4"/>
      <c r="AI199" s="4"/>
      <c r="AJ199" s="4"/>
      <c r="AK199" s="4"/>
      <c r="AL199" s="4">
        <v>11</v>
      </c>
    </row>
    <row r="200" spans="1:38" ht="11.45" customHeight="1">
      <c r="A200" s="255"/>
      <c r="B200" s="255"/>
      <c r="C200" s="255"/>
      <c r="D200" s="255"/>
      <c r="E200" s="255"/>
      <c r="F200" s="4"/>
      <c r="O200" s="4"/>
      <c r="Q200" s="4"/>
      <c r="T200" s="4"/>
      <c r="U200" s="4"/>
      <c r="V200" s="4"/>
      <c r="W200" s="4"/>
      <c r="Y200" s="4"/>
      <c r="Z200" s="4"/>
      <c r="AA200" s="4"/>
      <c r="AB200" s="4"/>
      <c r="AC200" s="4"/>
      <c r="AD200" s="4"/>
      <c r="AE200" s="4"/>
      <c r="AF200" s="4"/>
      <c r="AG200" s="4"/>
      <c r="AH200" s="4"/>
      <c r="AI200" s="4"/>
      <c r="AJ200" s="4"/>
      <c r="AK200" s="4"/>
      <c r="AL200" s="4">
        <v>11</v>
      </c>
    </row>
    <row r="201" spans="1:38" ht="11.45" customHeight="1">
      <c r="A201" s="255"/>
      <c r="B201" s="255"/>
      <c r="C201" s="255"/>
      <c r="D201" s="255"/>
      <c r="E201" s="255"/>
      <c r="F201" s="4"/>
      <c r="O201" s="4"/>
      <c r="Q201" s="4"/>
      <c r="T201" s="4"/>
      <c r="U201" s="4"/>
      <c r="V201" s="4"/>
      <c r="W201" s="4"/>
      <c r="Y201" s="4"/>
      <c r="Z201" s="4"/>
      <c r="AA201" s="4"/>
      <c r="AB201" s="4"/>
      <c r="AC201" s="4"/>
      <c r="AD201" s="4"/>
      <c r="AE201" s="4"/>
      <c r="AF201" s="4"/>
      <c r="AG201" s="4"/>
      <c r="AH201" s="4"/>
      <c r="AI201" s="4"/>
      <c r="AJ201" s="4"/>
      <c r="AK201" s="4"/>
      <c r="AL201" s="4">
        <v>11</v>
      </c>
    </row>
    <row r="202" spans="1:38" ht="11.45" customHeight="1">
      <c r="A202" s="255"/>
      <c r="B202" s="255"/>
      <c r="C202" s="255"/>
      <c r="D202" s="255"/>
      <c r="E202" s="255"/>
      <c r="F202" s="4"/>
      <c r="O202" s="4"/>
      <c r="Q202" s="4"/>
      <c r="T202" s="4"/>
      <c r="U202" s="4"/>
      <c r="V202" s="4"/>
      <c r="W202" s="4"/>
      <c r="Y202" s="4"/>
      <c r="Z202" s="4"/>
      <c r="AA202" s="4"/>
      <c r="AB202" s="4"/>
      <c r="AC202" s="4"/>
      <c r="AD202" s="4"/>
      <c r="AE202" s="4"/>
      <c r="AF202" s="4"/>
      <c r="AG202" s="4"/>
      <c r="AH202" s="4"/>
      <c r="AI202" s="4"/>
      <c r="AJ202" s="4"/>
      <c r="AK202" s="4"/>
      <c r="AL202" s="4">
        <v>11</v>
      </c>
    </row>
    <row r="203" spans="1:38" ht="11.45" customHeight="1">
      <c r="A203" s="255"/>
      <c r="B203" s="255"/>
      <c r="C203" s="255"/>
      <c r="D203" s="255"/>
      <c r="E203" s="255"/>
      <c r="F203" s="4"/>
      <c r="O203" s="4"/>
      <c r="Q203" s="4"/>
      <c r="T203" s="4"/>
      <c r="U203" s="4"/>
      <c r="V203" s="4"/>
      <c r="W203" s="4"/>
      <c r="Y203" s="4"/>
      <c r="Z203" s="4"/>
      <c r="AA203" s="4"/>
      <c r="AB203" s="4"/>
      <c r="AC203" s="4"/>
      <c r="AD203" s="4"/>
      <c r="AE203" s="4"/>
      <c r="AF203" s="4"/>
      <c r="AG203" s="4"/>
      <c r="AH203" s="4"/>
      <c r="AI203" s="4"/>
      <c r="AJ203" s="4"/>
      <c r="AK203" s="4"/>
      <c r="AL203" s="4">
        <v>11</v>
      </c>
    </row>
    <row r="204" spans="1:38" ht="12.75" hidden="1" customHeight="1">
      <c r="A204" s="330" t="s">
        <v>82</v>
      </c>
      <c r="B204" s="330" t="s">
        <v>154</v>
      </c>
      <c r="C204" s="330" t="s">
        <v>154</v>
      </c>
      <c r="D204" s="330" t="s">
        <v>154</v>
      </c>
      <c r="E204" s="330" t="s">
        <v>154</v>
      </c>
      <c r="F204" s="4">
        <v>16</v>
      </c>
      <c r="G204" s="46">
        <v>0</v>
      </c>
      <c r="H204" s="4">
        <v>3</v>
      </c>
      <c r="I204" s="4">
        <v>7</v>
      </c>
      <c r="J204" s="4">
        <v>56</v>
      </c>
      <c r="K204" s="4">
        <v>10</v>
      </c>
      <c r="L204" s="4">
        <v>40</v>
      </c>
      <c r="M204" s="4">
        <v>40</v>
      </c>
      <c r="N204" s="4">
        <v>40</v>
      </c>
      <c r="O204" s="43">
        <v>9</v>
      </c>
      <c r="P204" s="4">
        <v>102</v>
      </c>
      <c r="Q204" s="43">
        <v>9</v>
      </c>
      <c r="R204" s="46">
        <v>5</v>
      </c>
      <c r="S204" s="46">
        <v>3</v>
      </c>
      <c r="T204" s="43">
        <v>3</v>
      </c>
      <c r="U204" s="43">
        <v>3</v>
      </c>
      <c r="V204" s="43">
        <v>3</v>
      </c>
      <c r="W204" s="43">
        <v>3</v>
      </c>
      <c r="X204" s="46">
        <v>10</v>
      </c>
      <c r="Y204" s="43">
        <v>34</v>
      </c>
      <c r="Z204" s="43">
        <v>9</v>
      </c>
      <c r="AA204" s="77">
        <v>8</v>
      </c>
      <c r="AB204" s="43">
        <v>8</v>
      </c>
      <c r="AC204" s="43">
        <v>8</v>
      </c>
      <c r="AD204" s="43">
        <v>8</v>
      </c>
      <c r="AE204" s="43">
        <v>8</v>
      </c>
      <c r="AF204" s="43">
        <v>8</v>
      </c>
      <c r="AG204" s="7">
        <v>8</v>
      </c>
      <c r="AH204" s="7">
        <v>8</v>
      </c>
      <c r="AI204" s="7">
        <v>8</v>
      </c>
      <c r="AJ204" s="7">
        <v>8</v>
      </c>
      <c r="AK204" s="7">
        <v>8</v>
      </c>
      <c r="AL204" s="4">
        <v>11</v>
      </c>
    </row>
  </sheetData>
  <sheetProtection insertRows="0" deleteColumns="0" deleteRows="0" sort="0" autoFilter="0"/>
  <mergeCells count="7">
    <mergeCell ref="I6:M6"/>
    <mergeCell ref="I7:M7"/>
    <mergeCell ref="J10:K10"/>
    <mergeCell ref="P10:P14"/>
    <mergeCell ref="J11:K11"/>
    <mergeCell ref="J12:K12"/>
    <mergeCell ref="I13:K13"/>
  </mergeCells>
  <dataValidations count="4">
    <dataValidation type="decimal" allowBlank="1" showErrorMessage="1" errorTitle="Ошибка" error="Допускается ввод только неотрицательных чисел!" sqref="L32:N33 L19:N29 L16:N16 L2:N2" xr:uid="{00000000-0002-0000-2200-000000000000}">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L17:N17" xr:uid="{00000000-0002-0000-2200-000001000000}">
      <formula1>900</formula1>
    </dataValidation>
    <dataValidation type="whole" allowBlank="1" showErrorMessage="1" errorTitle="Ошибка" error="Допускается ввод только неотрицательных целых чисел!" sqref="L30:N31" xr:uid="{00000000-0002-0000-2200-000002000000}">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15:N15 L34:N34" xr:uid="{00000000-0002-0000-2200-000003000000}">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C5D6C2-98E3-EC9E-129D-E4E7E8405853}">
  <sheetPr>
    <tabColor theme="9" tint="-0.249977111117893"/>
  </sheetPr>
  <dimension ref="A1:W16"/>
  <sheetViews>
    <sheetView showGridLines="0" zoomScale="90" workbookViewId="0">
      <pane xSplit="11" ySplit="9" topLeftCell="L10" activePane="bottomRight" state="frozen"/>
      <selection pane="topRight" activeCell="L1" sqref="L1"/>
      <selection pane="bottomLeft" activeCell="A10" sqref="A10"/>
      <selection pane="bottomRight"/>
    </sheetView>
  </sheetViews>
  <sheetFormatPr defaultColWidth="10.5703125" defaultRowHeight="14.25" customHeight="1"/>
  <cols>
    <col min="1" max="4" width="10.5703125" style="4" hidden="1"/>
    <col min="5" max="5" width="9.140625" style="23" hidden="1" customWidth="1"/>
    <col min="6" max="7" width="9.140625" style="43" hidden="1" customWidth="1"/>
    <col min="8" max="8" width="3" style="20" customWidth="1"/>
    <col min="9" max="9" width="6" style="4" customWidth="1"/>
    <col min="10" max="10" width="63" style="4" customWidth="1"/>
    <col min="11" max="11" width="9" style="4" customWidth="1"/>
    <col min="12" max="12" width="39" style="4" customWidth="1"/>
    <col min="13" max="13" width="89" style="4" customWidth="1"/>
    <col min="14" max="14" width="10" style="4" customWidth="1"/>
    <col min="15" max="16" width="10" style="46" customWidth="1"/>
    <col min="17" max="22" width="10" style="4" customWidth="1"/>
    <col min="23" max="23" width="10.5703125" style="4" hidden="1"/>
  </cols>
  <sheetData>
    <row r="1" spans="1:23" ht="22.5" hidden="1" customHeight="1">
      <c r="W1" s="4" t="s">
        <v>14</v>
      </c>
    </row>
    <row r="2" spans="1:23" ht="22.5" hidden="1" customHeight="1">
      <c r="B2" s="633" t="s">
        <v>691</v>
      </c>
      <c r="C2" s="633" t="s">
        <v>692</v>
      </c>
      <c r="D2" s="632" t="s">
        <v>631</v>
      </c>
      <c r="E2" s="634">
        <f>I2-3</f>
        <v>-3</v>
      </c>
      <c r="F2" s="634">
        <f>J2</f>
        <v>0</v>
      </c>
      <c r="H2" s="542" t="s">
        <v>123</v>
      </c>
      <c r="I2" s="44"/>
      <c r="J2" s="139"/>
      <c r="K2" s="223" t="s">
        <v>309</v>
      </c>
      <c r="L2" s="72"/>
      <c r="M2" s="29"/>
      <c r="N2" s="46"/>
      <c r="P2" s="4"/>
      <c r="W2" s="4">
        <v>0</v>
      </c>
    </row>
    <row r="3" spans="1:23" ht="14.25" hidden="1" customHeight="1">
      <c r="W3" s="4">
        <v>0</v>
      </c>
    </row>
    <row r="4" spans="1:23" ht="6.4" customHeight="1">
      <c r="H4" s="19"/>
      <c r="I4" s="6"/>
      <c r="J4" s="6"/>
      <c r="K4" s="6"/>
      <c r="L4" s="6"/>
      <c r="M4" s="6"/>
      <c r="W4" s="4">
        <v>6</v>
      </c>
    </row>
    <row r="5" spans="1:23" ht="50.25" customHeight="1">
      <c r="H5" s="19"/>
      <c r="I5" s="697" t="s">
        <v>693</v>
      </c>
      <c r="J5" s="697"/>
      <c r="K5" s="697"/>
      <c r="L5" s="697"/>
      <c r="M5" s="92"/>
      <c r="W5" s="4">
        <v>48</v>
      </c>
    </row>
    <row r="6" spans="1:23" ht="18" customHeight="1">
      <c r="H6" s="19"/>
      <c r="I6" s="712" t="str">
        <f>IF(org=0,"Не определено",org)</f>
        <v>ООО "Восточная Тепловая компания"</v>
      </c>
      <c r="J6" s="712"/>
      <c r="K6" s="712"/>
      <c r="L6" s="712"/>
      <c r="M6" s="92"/>
      <c r="W6" s="4">
        <v>17</v>
      </c>
    </row>
    <row r="7" spans="1:23" ht="14.65" customHeight="1">
      <c r="H7" s="19"/>
      <c r="I7" s="6"/>
      <c r="J7" s="6"/>
      <c r="K7" s="6"/>
      <c r="L7" s="247"/>
      <c r="M7" s="6"/>
      <c r="W7" s="4">
        <v>14</v>
      </c>
    </row>
    <row r="8" spans="1:23" ht="14.65" customHeight="1">
      <c r="H8" s="19"/>
      <c r="I8" s="809" t="s">
        <v>303</v>
      </c>
      <c r="J8" s="810"/>
      <c r="K8" s="810"/>
      <c r="L8" s="811"/>
      <c r="M8" s="722" t="s">
        <v>304</v>
      </c>
      <c r="W8" s="4">
        <v>14</v>
      </c>
    </row>
    <row r="9" spans="1:23" ht="35.65" customHeight="1">
      <c r="E9" s="631" t="s">
        <v>622</v>
      </c>
      <c r="F9" s="631" t="s">
        <v>628</v>
      </c>
      <c r="H9" s="19"/>
      <c r="I9" s="24" t="s">
        <v>88</v>
      </c>
      <c r="J9" s="27" t="s">
        <v>305</v>
      </c>
      <c r="K9" s="103" t="s">
        <v>569</v>
      </c>
      <c r="L9" s="27" t="s">
        <v>306</v>
      </c>
      <c r="M9" s="722"/>
      <c r="W9" s="4">
        <v>34</v>
      </c>
    </row>
    <row r="10" spans="1:23" ht="35.65" customHeight="1">
      <c r="B10" s="633" t="s">
        <v>694</v>
      </c>
      <c r="C10" s="633" t="s">
        <v>695</v>
      </c>
      <c r="D10" s="632" t="s">
        <v>631</v>
      </c>
      <c r="E10" s="634" t="s">
        <v>632</v>
      </c>
      <c r="F10" s="634" t="s">
        <v>632</v>
      </c>
      <c r="H10" s="19"/>
      <c r="I10" s="44" t="s">
        <v>110</v>
      </c>
      <c r="J10" s="27" t="s">
        <v>696</v>
      </c>
      <c r="K10" s="223" t="s">
        <v>309</v>
      </c>
      <c r="L10" s="131"/>
      <c r="M10" s="29" t="s">
        <v>697</v>
      </c>
      <c r="W10" s="4">
        <v>34</v>
      </c>
    </row>
    <row r="11" spans="1:23" ht="50.25" customHeight="1">
      <c r="B11" s="633" t="s">
        <v>698</v>
      </c>
      <c r="C11" s="633" t="s">
        <v>699</v>
      </c>
      <c r="D11" s="632" t="s">
        <v>631</v>
      </c>
      <c r="E11" s="634" t="s">
        <v>632</v>
      </c>
      <c r="F11" s="634" t="s">
        <v>632</v>
      </c>
      <c r="H11" s="19"/>
      <c r="I11" s="44" t="s">
        <v>111</v>
      </c>
      <c r="J11" s="27" t="s">
        <v>700</v>
      </c>
      <c r="K11" s="223" t="s">
        <v>309</v>
      </c>
      <c r="L11" s="131"/>
      <c r="M11" s="29" t="s">
        <v>697</v>
      </c>
      <c r="W11" s="4">
        <v>48</v>
      </c>
    </row>
    <row r="12" spans="1:23" ht="48.2" customHeight="1">
      <c r="B12" s="633" t="s">
        <v>701</v>
      </c>
      <c r="C12" s="633" t="s">
        <v>702</v>
      </c>
      <c r="D12" s="632" t="s">
        <v>631</v>
      </c>
      <c r="E12" s="634" t="s">
        <v>632</v>
      </c>
      <c r="F12" s="634" t="s">
        <v>632</v>
      </c>
      <c r="H12" s="15"/>
      <c r="I12" s="44" t="s">
        <v>90</v>
      </c>
      <c r="J12" s="27" t="s">
        <v>703</v>
      </c>
      <c r="K12" s="223" t="s">
        <v>309</v>
      </c>
      <c r="L12" s="131"/>
      <c r="M12" s="29" t="s">
        <v>704</v>
      </c>
      <c r="N12" s="46"/>
      <c r="P12" s="4"/>
      <c r="W12" s="4">
        <v>46</v>
      </c>
    </row>
    <row r="13" spans="1:23" ht="14.65" customHeight="1">
      <c r="E13" s="4"/>
      <c r="H13" s="19"/>
      <c r="I13" s="28"/>
      <c r="J13" s="37" t="s">
        <v>705</v>
      </c>
      <c r="K13" s="37"/>
      <c r="L13" s="68"/>
      <c r="M13" s="29"/>
      <c r="W13" s="4">
        <v>14</v>
      </c>
    </row>
    <row r="14" spans="1:23" ht="14.65" customHeight="1">
      <c r="E14" s="4"/>
      <c r="H14" s="19"/>
      <c r="I14" s="128"/>
      <c r="J14" s="355"/>
      <c r="K14" s="355"/>
      <c r="L14" s="518"/>
      <c r="W14" s="4">
        <v>14</v>
      </c>
    </row>
    <row r="15" spans="1:23" ht="14.65" customHeight="1">
      <c r="J15" s="665"/>
      <c r="K15" s="665"/>
      <c r="L15" s="665"/>
      <c r="M15" s="665"/>
      <c r="W15" s="4">
        <v>14</v>
      </c>
    </row>
    <row r="16" spans="1:23" ht="21" hidden="1" customHeight="1">
      <c r="A16" s="23" t="s">
        <v>82</v>
      </c>
      <c r="B16" s="4">
        <v>9</v>
      </c>
      <c r="C16" s="4">
        <v>9</v>
      </c>
      <c r="D16" s="4">
        <v>9</v>
      </c>
      <c r="E16" s="23" t="s">
        <v>153</v>
      </c>
      <c r="F16" s="23" t="s">
        <v>153</v>
      </c>
      <c r="G16" s="23"/>
      <c r="H16" s="20">
        <v>3</v>
      </c>
      <c r="I16" s="4">
        <v>6</v>
      </c>
      <c r="J16" s="4">
        <v>63</v>
      </c>
      <c r="K16" s="4">
        <v>9</v>
      </c>
      <c r="L16" s="4">
        <v>39</v>
      </c>
      <c r="M16" s="4">
        <v>89</v>
      </c>
      <c r="N16" s="4">
        <v>10</v>
      </c>
      <c r="O16" s="46">
        <v>10</v>
      </c>
      <c r="P16" s="46">
        <v>10</v>
      </c>
      <c r="Q16" s="4">
        <v>10</v>
      </c>
      <c r="R16" s="4">
        <v>10</v>
      </c>
      <c r="S16" s="4">
        <v>10</v>
      </c>
      <c r="T16" s="4">
        <v>10</v>
      </c>
      <c r="U16" s="4">
        <v>10</v>
      </c>
      <c r="V16" s="4">
        <v>10</v>
      </c>
      <c r="W16" s="4">
        <v>23</v>
      </c>
    </row>
  </sheetData>
  <sheetProtection formatColumns="0" formatRows="0" insertRows="0" deleteColumns="0" deleteRows="0" sort="0" autoFilter="0"/>
  <mergeCells count="5">
    <mergeCell ref="J15:M15"/>
    <mergeCell ref="I5:L5"/>
    <mergeCell ref="I6:L6"/>
    <mergeCell ref="I8:L8"/>
    <mergeCell ref="M8:M9"/>
  </mergeCells>
  <dataValidations count="2">
    <dataValidation type="textLength" operator="lessThanOrEqual" allowBlank="1" showInputMessage="1" showErrorMessage="1" errorTitle="Ошибка" error="Допускается ввод не более 900 символов!" sqref="M10 J2" xr:uid="{00000000-0002-0000-2300-000000000000}">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L2 L10:L12" xr:uid="{00000000-0002-0000-2300-000001000000}">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D12AAF-D40A-D95C-2FD2-DCE9B031FC7F}">
  <sheetPr>
    <tabColor theme="9" tint="-0.249977111117893"/>
  </sheetPr>
  <dimension ref="A1:AG217"/>
  <sheetViews>
    <sheetView showGridLines="0" zoomScale="90" workbookViewId="0">
      <pane xSplit="8" ySplit="14" topLeftCell="J15" activePane="bottomRight" state="frozen"/>
      <selection pane="topRight" activeCell="I1" sqref="I1"/>
      <selection pane="bottomLeft" activeCell="A15" sqref="A15"/>
      <selection pane="bottomRight" activeCell="J9" sqref="J9"/>
    </sheetView>
  </sheetViews>
  <sheetFormatPr defaultColWidth="9.140625" defaultRowHeight="11.25" customHeight="1"/>
  <cols>
    <col min="1" max="1" width="10.7109375" style="330" hidden="1" customWidth="1"/>
    <col min="2" max="2" width="16.85546875" style="43" hidden="1" customWidth="1"/>
    <col min="3" max="3" width="5.5703125" style="46" hidden="1" customWidth="1"/>
    <col min="4" max="4" width="3" style="4" customWidth="1"/>
    <col min="5" max="5" width="7" style="4" customWidth="1"/>
    <col min="6" max="6" width="56" style="4" customWidth="1"/>
    <col min="7" max="7" width="10" style="4" customWidth="1"/>
    <col min="8" max="8" width="40.7109375" style="4" hidden="1" customWidth="1"/>
    <col min="9" max="9" width="40" style="4" customWidth="1"/>
    <col min="10" max="10" width="40.7109375" style="4" customWidth="1"/>
    <col min="11" max="11" width="102" style="4" customWidth="1"/>
    <col min="12" max="12" width="9" style="43" customWidth="1"/>
    <col min="13" max="13" width="5" style="46" customWidth="1"/>
    <col min="14" max="14" width="3" style="46" customWidth="1"/>
    <col min="15" max="18" width="3" style="43" customWidth="1"/>
    <col min="19" max="19" width="10" style="46" customWidth="1"/>
    <col min="20" max="20" width="34" style="43" customWidth="1"/>
    <col min="21" max="21" width="9" style="43" customWidth="1"/>
    <col min="22" max="22" width="8" style="77" customWidth="1"/>
    <col min="23" max="27" width="8" style="43" customWidth="1"/>
    <col min="28" max="32" width="8" style="7" customWidth="1"/>
    <col min="33" max="33" width="10.42578125" style="4" hidden="1" customWidth="1"/>
  </cols>
  <sheetData>
    <row r="1" spans="1:33" s="43" customFormat="1" ht="22.5" hidden="1" customHeight="1">
      <c r="A1" s="330"/>
      <c r="C1" s="46"/>
      <c r="H1" s="43">
        <v>4</v>
      </c>
      <c r="I1" s="43">
        <v>4</v>
      </c>
      <c r="J1" s="43">
        <v>4</v>
      </c>
      <c r="M1" s="46"/>
      <c r="N1" s="46"/>
      <c r="S1" s="46"/>
      <c r="AG1" s="43" t="s">
        <v>14</v>
      </c>
    </row>
    <row r="2" spans="1:33" s="43" customFormat="1" ht="22.5" hidden="1" customHeight="1">
      <c r="A2" s="330"/>
      <c r="C2" s="46"/>
      <c r="D2" s="23"/>
      <c r="E2" s="29"/>
      <c r="F2" s="74"/>
      <c r="G2" s="29" t="s">
        <v>555</v>
      </c>
      <c r="H2" s="168"/>
      <c r="I2" s="168"/>
      <c r="J2" s="168"/>
      <c r="K2" s="169" t="s">
        <v>706</v>
      </c>
      <c r="L2" s="170"/>
      <c r="M2" s="46"/>
      <c r="N2" s="46"/>
      <c r="S2" s="46"/>
      <c r="V2" s="77"/>
      <c r="AB2" s="7"/>
      <c r="AC2" s="7"/>
      <c r="AD2" s="7"/>
      <c r="AE2" s="7"/>
      <c r="AF2" s="7"/>
      <c r="AG2" s="43">
        <v>0</v>
      </c>
    </row>
    <row r="3" spans="1:33" ht="11.25" hidden="1" customHeight="1">
      <c r="AG3" s="4">
        <v>0</v>
      </c>
    </row>
    <row r="4" spans="1:33" s="7" customFormat="1" ht="11.25" hidden="1" customHeight="1">
      <c r="A4" s="330"/>
      <c r="B4" s="43"/>
      <c r="C4" s="46"/>
      <c r="K4" s="7">
        <v>4</v>
      </c>
      <c r="L4" s="43"/>
      <c r="M4" s="46"/>
      <c r="N4" s="46"/>
      <c r="O4" s="43"/>
      <c r="P4" s="43"/>
      <c r="Q4" s="43"/>
      <c r="R4" s="43"/>
      <c r="S4" s="46"/>
      <c r="T4" s="43"/>
      <c r="U4" s="43"/>
      <c r="V4" s="77"/>
      <c r="W4" s="43"/>
      <c r="X4" s="43"/>
      <c r="Y4" s="43"/>
      <c r="Z4" s="43"/>
      <c r="AA4" s="43"/>
      <c r="AG4" s="7">
        <v>0</v>
      </c>
    </row>
    <row r="5" spans="1:33" ht="11.45" customHeight="1">
      <c r="AG5" s="4">
        <v>11</v>
      </c>
    </row>
    <row r="6" spans="1:33" ht="31.5" customHeight="1">
      <c r="E6" s="697" t="s">
        <v>707</v>
      </c>
      <c r="F6" s="697"/>
      <c r="G6" s="697"/>
      <c r="H6" s="697"/>
      <c r="I6" s="697"/>
      <c r="J6" s="128"/>
      <c r="K6" s="40"/>
      <c r="AG6" s="4">
        <v>30</v>
      </c>
    </row>
    <row r="7" spans="1:33" ht="11.45" customHeight="1">
      <c r="E7" s="712" t="str">
        <f>IF(org=0,"Не определено",org)</f>
        <v>ООО "Восточная Тепловая компания"</v>
      </c>
      <c r="F7" s="712"/>
      <c r="G7" s="712"/>
      <c r="H7" s="712"/>
      <c r="I7" s="712"/>
      <c r="J7" s="358"/>
      <c r="AG7" s="4">
        <v>11</v>
      </c>
    </row>
    <row r="8" spans="1:33" ht="11.45" customHeight="1">
      <c r="J8" s="4" t="s">
        <v>22</v>
      </c>
      <c r="AG8" s="4">
        <v>11</v>
      </c>
    </row>
    <row r="9" spans="1:33" s="46" customFormat="1" ht="4.1500000000000004" customHeight="1">
      <c r="A9" s="160"/>
      <c r="H9" s="297"/>
      <c r="I9" s="297" t="s">
        <v>118</v>
      </c>
      <c r="J9" s="297" t="s">
        <v>124</v>
      </c>
      <c r="AG9" s="46">
        <v>4</v>
      </c>
    </row>
    <row r="10" spans="1:33" ht="11.45" customHeight="1">
      <c r="E10" s="217"/>
      <c r="F10" s="666" t="s">
        <v>106</v>
      </c>
      <c r="G10" s="661"/>
      <c r="H10" s="270" t="str">
        <f>IF(H9="","",INDEX(DIFFERENTIATION_UNMERGE_VD,MATCH(H9,DIFFERENTIATION_ID_DIFF,0)))</f>
        <v/>
      </c>
      <c r="I10" s="270" t="str">
        <f>IF(I9="","",INDEX(DIFFERENTIATION_UNMERGE_VD,MATCH(I9,DIFFERENTIATION_ID_DIFF,0)))</f>
        <v>Производство тепловой энергии. Некомбинированная выработка; Передача. Тепловая энергия; Сбыт. Тепловая энергия</v>
      </c>
      <c r="J10" s="270" t="str">
        <f>IF(J9="","",INDEX(DIFFERENTIATION_UNMERGE_VD,MATCH(J9,DIFFERENTIATION_ID_DIFF,0)))</f>
        <v>Производство. Теплоноситель; Передача. Теплоноситель; Сбыт. Теплоноситель</v>
      </c>
      <c r="K10" s="679"/>
      <c r="AG10" s="4">
        <v>11</v>
      </c>
    </row>
    <row r="11" spans="1:33" ht="11.45" customHeight="1">
      <c r="E11" s="217"/>
      <c r="F11" s="666" t="s">
        <v>567</v>
      </c>
      <c r="G11" s="661"/>
      <c r="H11" s="270" t="str">
        <f>IF(H9="","",INDEX(DIFFERENTIATION_UNMERGE_AREA,MATCH(H9,DIFFERENTIATION_ID_DIFF,0)))</f>
        <v/>
      </c>
      <c r="I11" s="270" t="str">
        <f>IF(I9="","",INDEX(DIFFERENTIATION_UNMERGE_AREA,MATCH(I9,DIFFERENTIATION_ID_DIFF,0)))</f>
        <v>Территория 1</v>
      </c>
      <c r="J11" s="270" t="str">
        <f>IF(J9="","",INDEX(DIFFERENTIATION_UNMERGE_AREA,MATCH(J9,DIFFERENTIATION_ID_DIFF,0)))</f>
        <v/>
      </c>
      <c r="K11" s="679"/>
      <c r="AG11" s="4">
        <v>11</v>
      </c>
    </row>
    <row r="12" spans="1:33" ht="1.1499999999999999" customHeight="1">
      <c r="E12" s="472"/>
      <c r="F12" s="769" t="s">
        <v>568</v>
      </c>
      <c r="G12" s="770"/>
      <c r="H12" s="472" t="str">
        <f>IF(H9="","",INDEX(DIFFERENTIATION_UNMERGE_SYSTEM,MATCH(H9,DIFFERENTIATION_ID_DIFF,0)))</f>
        <v/>
      </c>
      <c r="I12" s="472" t="str">
        <f>IF(I9="","",INDEX(DIFFERENTIATION_UNMERGE_SYSTEM,MATCH(I9,DIFFERENTIATION_ID_DIFF,0)))</f>
        <v>д. Кисловка</v>
      </c>
      <c r="J12" s="472" t="str">
        <f>IF(J9="","",INDEX(DIFFERENTIATION_UNMERGE_SYSTEM,MATCH(J9,DIFFERENTIATION_ID_DIFF,0)))</f>
        <v>д. Кисловка</v>
      </c>
      <c r="K12" s="679"/>
      <c r="AG12" s="4">
        <v>1</v>
      </c>
    </row>
    <row r="13" spans="1:33" ht="11.45" customHeight="1">
      <c r="E13" s="662" t="s">
        <v>303</v>
      </c>
      <c r="F13" s="666"/>
      <c r="G13" s="666"/>
      <c r="H13" s="223"/>
      <c r="I13" s="223"/>
      <c r="J13" s="223"/>
      <c r="K13" s="679"/>
      <c r="AG13" s="4">
        <v>11</v>
      </c>
    </row>
    <row r="14" spans="1:33" ht="24" customHeight="1">
      <c r="E14" s="29" t="s">
        <v>88</v>
      </c>
      <c r="F14" s="29" t="s">
        <v>305</v>
      </c>
      <c r="G14" s="29" t="s">
        <v>569</v>
      </c>
      <c r="H14" s="29" t="s">
        <v>306</v>
      </c>
      <c r="I14" s="29" t="s">
        <v>306</v>
      </c>
      <c r="J14" s="29" t="s">
        <v>306</v>
      </c>
      <c r="K14" s="679"/>
      <c r="AG14" s="4">
        <v>23</v>
      </c>
    </row>
    <row r="15" spans="1:33" ht="19.899999999999999" customHeight="1">
      <c r="D15" s="23"/>
      <c r="E15" s="514" t="s">
        <v>110</v>
      </c>
      <c r="F15" s="29" t="s">
        <v>708</v>
      </c>
      <c r="G15" s="29" t="s">
        <v>555</v>
      </c>
      <c r="H15" s="176"/>
      <c r="I15" s="176"/>
      <c r="J15" s="176"/>
      <c r="K15" s="29" t="s">
        <v>709</v>
      </c>
      <c r="L15" s="170" t="s">
        <v>634</v>
      </c>
      <c r="AG15" s="4">
        <v>19</v>
      </c>
    </row>
    <row r="16" spans="1:33" ht="35.65" customHeight="1">
      <c r="D16" s="23"/>
      <c r="E16" s="514" t="s">
        <v>111</v>
      </c>
      <c r="F16" s="29" t="s">
        <v>710</v>
      </c>
      <c r="G16" s="29" t="s">
        <v>555</v>
      </c>
      <c r="H16" s="177">
        <f>SUM(H17,H20:H32)</f>
        <v>0</v>
      </c>
      <c r="I16" s="177">
        <f>SUM(I17,I20,I23,I26,I29:I32)</f>
        <v>0</v>
      </c>
      <c r="J16" s="177">
        <f>SUM(J17,J20:J32)</f>
        <v>0</v>
      </c>
      <c r="K16" s="29" t="s">
        <v>711</v>
      </c>
      <c r="L16" s="170" t="s">
        <v>634</v>
      </c>
      <c r="AG16" s="4">
        <v>34</v>
      </c>
    </row>
    <row r="17" spans="1:33" ht="19.899999999999999" customHeight="1">
      <c r="D17" s="23"/>
      <c r="E17" s="515" t="s">
        <v>712</v>
      </c>
      <c r="F17" s="29" t="s">
        <v>713</v>
      </c>
      <c r="G17" s="169" t="s">
        <v>555</v>
      </c>
      <c r="H17" s="176"/>
      <c r="I17" s="176"/>
      <c r="J17" s="176"/>
      <c r="K17" s="29" t="s">
        <v>714</v>
      </c>
      <c r="L17" s="170"/>
      <c r="AG17" s="4">
        <v>19</v>
      </c>
    </row>
    <row r="18" spans="1:33" ht="24" customHeight="1">
      <c r="D18" s="23"/>
      <c r="E18" s="515" t="s">
        <v>715</v>
      </c>
      <c r="F18" s="29" t="s">
        <v>716</v>
      </c>
      <c r="G18" s="169" t="s">
        <v>555</v>
      </c>
      <c r="H18" s="176"/>
      <c r="I18" s="176"/>
      <c r="J18" s="176"/>
      <c r="K18" s="29" t="s">
        <v>717</v>
      </c>
      <c r="L18" s="170"/>
      <c r="AG18" s="4">
        <v>23</v>
      </c>
    </row>
    <row r="19" spans="1:33" ht="35.65" customHeight="1">
      <c r="D19" s="23"/>
      <c r="E19" s="515" t="s">
        <v>718</v>
      </c>
      <c r="F19" s="29" t="s">
        <v>719</v>
      </c>
      <c r="G19" s="169" t="s">
        <v>555</v>
      </c>
      <c r="H19" s="176"/>
      <c r="I19" s="176"/>
      <c r="J19" s="176"/>
      <c r="K19" s="29"/>
      <c r="L19" s="170"/>
      <c r="AG19" s="4">
        <v>34</v>
      </c>
    </row>
    <row r="20" spans="1:33" ht="19.899999999999999" customHeight="1">
      <c r="D20" s="23"/>
      <c r="E20" s="515" t="s">
        <v>310</v>
      </c>
      <c r="F20" s="29" t="s">
        <v>720</v>
      </c>
      <c r="G20" s="169" t="s">
        <v>555</v>
      </c>
      <c r="H20" s="176"/>
      <c r="I20" s="176"/>
      <c r="J20" s="176"/>
      <c r="K20" s="29" t="s">
        <v>721</v>
      </c>
      <c r="L20" s="170"/>
      <c r="AG20" s="4">
        <v>19</v>
      </c>
    </row>
    <row r="21" spans="1:33" ht="19.899999999999999" customHeight="1">
      <c r="D21" s="23"/>
      <c r="E21" s="515" t="s">
        <v>722</v>
      </c>
      <c r="F21" s="29" t="s">
        <v>723</v>
      </c>
      <c r="G21" s="169" t="s">
        <v>555</v>
      </c>
      <c r="H21" s="176"/>
      <c r="I21" s="176"/>
      <c r="J21" s="176"/>
      <c r="K21" s="29"/>
      <c r="L21" s="170"/>
      <c r="AG21" s="4">
        <v>19</v>
      </c>
    </row>
    <row r="22" spans="1:33" ht="19.899999999999999" customHeight="1">
      <c r="D22" s="23"/>
      <c r="E22" s="515" t="s">
        <v>724</v>
      </c>
      <c r="F22" s="29" t="s">
        <v>725</v>
      </c>
      <c r="G22" s="169" t="s">
        <v>555</v>
      </c>
      <c r="H22" s="176"/>
      <c r="I22" s="176"/>
      <c r="J22" s="176"/>
      <c r="K22" s="29"/>
      <c r="L22" s="170"/>
      <c r="AG22" s="4">
        <v>19</v>
      </c>
    </row>
    <row r="23" spans="1:33" ht="24" customHeight="1">
      <c r="D23" s="23"/>
      <c r="E23" s="515" t="s">
        <v>313</v>
      </c>
      <c r="F23" s="29" t="s">
        <v>726</v>
      </c>
      <c r="G23" s="169" t="s">
        <v>555</v>
      </c>
      <c r="H23" s="176"/>
      <c r="I23" s="176"/>
      <c r="J23" s="176"/>
      <c r="K23" s="29" t="s">
        <v>727</v>
      </c>
      <c r="L23" s="170"/>
      <c r="AG23" s="4">
        <v>23</v>
      </c>
    </row>
    <row r="24" spans="1:33" ht="19.899999999999999" customHeight="1">
      <c r="D24" s="23"/>
      <c r="E24" s="515" t="s">
        <v>728</v>
      </c>
      <c r="F24" s="29" t="s">
        <v>729</v>
      </c>
      <c r="G24" s="169" t="s">
        <v>555</v>
      </c>
      <c r="H24" s="176"/>
      <c r="I24" s="176"/>
      <c r="J24" s="176"/>
      <c r="K24" s="29"/>
      <c r="L24" s="170"/>
      <c r="AG24" s="4">
        <v>19</v>
      </c>
    </row>
    <row r="25" spans="1:33" ht="35.65" customHeight="1">
      <c r="D25" s="23"/>
      <c r="E25" s="515" t="s">
        <v>730</v>
      </c>
      <c r="F25" s="29" t="s">
        <v>731</v>
      </c>
      <c r="G25" s="169" t="s">
        <v>555</v>
      </c>
      <c r="H25" s="176"/>
      <c r="I25" s="176"/>
      <c r="J25" s="176"/>
      <c r="K25" s="29"/>
      <c r="L25" s="170"/>
      <c r="AG25" s="4">
        <v>34</v>
      </c>
    </row>
    <row r="26" spans="1:33" ht="24" customHeight="1">
      <c r="D26" s="23"/>
      <c r="E26" s="515" t="s">
        <v>732</v>
      </c>
      <c r="F26" s="29" t="s">
        <v>733</v>
      </c>
      <c r="G26" s="169" t="s">
        <v>555</v>
      </c>
      <c r="H26" s="176"/>
      <c r="I26" s="176"/>
      <c r="J26" s="176"/>
      <c r="K26" s="29" t="s">
        <v>734</v>
      </c>
      <c r="L26" s="170"/>
      <c r="AG26" s="4">
        <v>23</v>
      </c>
    </row>
    <row r="27" spans="1:33" ht="19.899999999999999" customHeight="1">
      <c r="D27" s="23"/>
      <c r="E27" s="516" t="s">
        <v>735</v>
      </c>
      <c r="F27" s="29" t="s">
        <v>736</v>
      </c>
      <c r="G27" s="169" t="s">
        <v>555</v>
      </c>
      <c r="H27" s="517"/>
      <c r="I27" s="517"/>
      <c r="J27" s="517"/>
      <c r="K27" s="29"/>
      <c r="L27" s="170"/>
      <c r="AG27" s="4">
        <v>19</v>
      </c>
    </row>
    <row r="28" spans="1:33" ht="19.899999999999999" customHeight="1">
      <c r="D28" s="23"/>
      <c r="E28" s="516" t="s">
        <v>737</v>
      </c>
      <c r="F28" s="29" t="s">
        <v>738</v>
      </c>
      <c r="G28" s="169" t="s">
        <v>555</v>
      </c>
      <c r="H28" s="517"/>
      <c r="I28" s="517"/>
      <c r="J28" s="517"/>
      <c r="K28" s="29"/>
      <c r="L28" s="170"/>
      <c r="AG28" s="4">
        <v>19</v>
      </c>
    </row>
    <row r="29" spans="1:33" ht="19.899999999999999" customHeight="1">
      <c r="D29" s="23"/>
      <c r="E29" s="516" t="s">
        <v>739</v>
      </c>
      <c r="F29" s="29" t="s">
        <v>740</v>
      </c>
      <c r="G29" s="169" t="s">
        <v>555</v>
      </c>
      <c r="H29" s="517"/>
      <c r="I29" s="517"/>
      <c r="J29" s="517"/>
      <c r="K29" s="29"/>
      <c r="L29" s="170"/>
      <c r="AG29" s="4">
        <v>19</v>
      </c>
    </row>
    <row r="30" spans="1:33" ht="19.899999999999999" customHeight="1">
      <c r="D30" s="23"/>
      <c r="E30" s="516" t="s">
        <v>741</v>
      </c>
      <c r="F30" s="29" t="s">
        <v>742</v>
      </c>
      <c r="G30" s="169" t="s">
        <v>555</v>
      </c>
      <c r="H30" s="517"/>
      <c r="I30" s="517"/>
      <c r="J30" s="517"/>
      <c r="K30" s="29"/>
      <c r="L30" s="170"/>
      <c r="AG30" s="4">
        <v>19</v>
      </c>
    </row>
    <row r="31" spans="1:33" ht="19.899999999999999" customHeight="1">
      <c r="D31" s="23"/>
      <c r="E31" s="516" t="s">
        <v>743</v>
      </c>
      <c r="F31" s="29" t="s">
        <v>744</v>
      </c>
      <c r="G31" s="169" t="s">
        <v>555</v>
      </c>
      <c r="H31" s="517"/>
      <c r="I31" s="517"/>
      <c r="J31" s="517"/>
      <c r="K31" s="29"/>
      <c r="L31" s="170"/>
      <c r="AG31" s="4">
        <v>19</v>
      </c>
    </row>
    <row r="32" spans="1:33" s="43" customFormat="1" ht="35.65" customHeight="1">
      <c r="A32" s="330"/>
      <c r="C32" s="46"/>
      <c r="D32" s="23"/>
      <c r="E32" s="516" t="s">
        <v>745</v>
      </c>
      <c r="F32" s="29" t="s">
        <v>746</v>
      </c>
      <c r="G32" s="100" t="s">
        <v>555</v>
      </c>
      <c r="H32" s="190">
        <f>SUM(H33:H34)</f>
        <v>0</v>
      </c>
      <c r="I32" s="190">
        <f>SUM(I33:I34)</f>
        <v>0</v>
      </c>
      <c r="J32" s="190">
        <f>SUM(J33:J34)</f>
        <v>0</v>
      </c>
      <c r="K32" s="29" t="s">
        <v>747</v>
      </c>
      <c r="L32" s="170"/>
      <c r="M32" s="46"/>
      <c r="N32" s="46"/>
      <c r="S32" s="46"/>
      <c r="V32" s="77"/>
      <c r="AB32" s="7"/>
      <c r="AC32" s="7"/>
      <c r="AD32" s="7"/>
      <c r="AE32" s="7"/>
      <c r="AF32" s="7"/>
      <c r="AG32" s="43">
        <v>34</v>
      </c>
    </row>
    <row r="33" spans="1:33" s="46" customFormat="1" ht="1.1499999999999999" customHeight="1">
      <c r="A33" s="160"/>
      <c r="D33" s="160"/>
      <c r="E33" s="174" t="str">
        <f>E32&amp;".0"</f>
        <v>2.8.0</v>
      </c>
      <c r="F33" s="174"/>
      <c r="G33" s="174"/>
      <c r="H33" s="332"/>
      <c r="I33" s="332"/>
      <c r="J33" s="332"/>
      <c r="K33" s="333"/>
      <c r="AG33" s="46">
        <v>1</v>
      </c>
    </row>
    <row r="34" spans="1:33" s="43" customFormat="1" ht="19.899999999999999" customHeight="1">
      <c r="A34" s="330"/>
      <c r="C34" s="46"/>
      <c r="D34" s="16"/>
      <c r="E34" s="184"/>
      <c r="F34" s="325" t="s">
        <v>580</v>
      </c>
      <c r="G34" s="185"/>
      <c r="H34" s="186"/>
      <c r="I34" s="186"/>
      <c r="J34" s="186"/>
      <c r="K34" s="100" t="s">
        <v>748</v>
      </c>
      <c r="L34" s="170"/>
      <c r="M34" s="46"/>
      <c r="N34" s="46"/>
      <c r="S34" s="46"/>
      <c r="V34" s="77"/>
      <c r="AB34" s="7"/>
      <c r="AC34" s="7"/>
      <c r="AD34" s="7"/>
      <c r="AE34" s="7"/>
      <c r="AF34" s="7"/>
      <c r="AG34" s="43">
        <v>19</v>
      </c>
    </row>
    <row r="35" spans="1:33" ht="60" customHeight="1">
      <c r="D35" s="23"/>
      <c r="E35" s="516" t="s">
        <v>749</v>
      </c>
      <c r="F35" s="29" t="s">
        <v>750</v>
      </c>
      <c r="G35" s="169" t="s">
        <v>555</v>
      </c>
      <c r="H35" s="517"/>
      <c r="I35" s="517"/>
      <c r="J35" s="517"/>
      <c r="K35" s="29" t="s">
        <v>751</v>
      </c>
      <c r="L35" s="170"/>
      <c r="AG35" s="4">
        <v>57</v>
      </c>
    </row>
    <row r="36" spans="1:33" s="43" customFormat="1" ht="24" customHeight="1">
      <c r="A36" s="331" t="s">
        <v>581</v>
      </c>
      <c r="C36" s="46"/>
      <c r="D36" s="23"/>
      <c r="E36" s="515" t="s">
        <v>90</v>
      </c>
      <c r="F36" s="29" t="s">
        <v>752</v>
      </c>
      <c r="G36" s="169" t="s">
        <v>555</v>
      </c>
      <c r="H36" s="176"/>
      <c r="I36" s="176"/>
      <c r="J36" s="176"/>
      <c r="K36" s="29" t="s">
        <v>753</v>
      </c>
      <c r="L36" s="170"/>
      <c r="M36" s="46"/>
      <c r="N36" s="46"/>
      <c r="S36" s="46"/>
      <c r="V36" s="77"/>
      <c r="AB36" s="7"/>
      <c r="AC36" s="7"/>
      <c r="AD36" s="7"/>
      <c r="AE36" s="7"/>
      <c r="AF36" s="7"/>
      <c r="AG36" s="43">
        <v>23</v>
      </c>
    </row>
    <row r="37" spans="1:33" s="43" customFormat="1" ht="35.65" customHeight="1">
      <c r="A37" s="331"/>
      <c r="C37" s="46"/>
      <c r="D37" s="23"/>
      <c r="E37" s="515" t="s">
        <v>327</v>
      </c>
      <c r="F37" s="29" t="s">
        <v>754</v>
      </c>
      <c r="G37" s="169"/>
      <c r="H37" s="176"/>
      <c r="I37" s="176"/>
      <c r="J37" s="176"/>
      <c r="K37" s="29"/>
      <c r="L37" s="170"/>
      <c r="M37" s="46"/>
      <c r="N37" s="46"/>
      <c r="S37" s="46"/>
      <c r="V37" s="77"/>
      <c r="AB37" s="7"/>
      <c r="AC37" s="7"/>
      <c r="AD37" s="7"/>
      <c r="AE37" s="7"/>
      <c r="AF37" s="7"/>
      <c r="AG37" s="43">
        <v>34</v>
      </c>
    </row>
    <row r="38" spans="1:33" s="43" customFormat="1" ht="19.899999999999999" customHeight="1">
      <c r="A38" s="330"/>
      <c r="C38" s="46"/>
      <c r="D38" s="188"/>
      <c r="E38" s="515" t="s">
        <v>91</v>
      </c>
      <c r="F38" s="29" t="s">
        <v>755</v>
      </c>
      <c r="G38" s="169" t="s">
        <v>555</v>
      </c>
      <c r="H38" s="176"/>
      <c r="I38" s="176"/>
      <c r="J38" s="176"/>
      <c r="K38" s="29" t="s">
        <v>756</v>
      </c>
      <c r="L38" s="170"/>
      <c r="M38" s="46"/>
      <c r="N38" s="46"/>
      <c r="S38" s="46"/>
      <c r="V38" s="77"/>
      <c r="AB38" s="7"/>
      <c r="AC38" s="7"/>
      <c r="AD38" s="7"/>
      <c r="AE38" s="7"/>
      <c r="AF38" s="7"/>
      <c r="AG38" s="43">
        <v>19</v>
      </c>
    </row>
    <row r="39" spans="1:33" s="43" customFormat="1" ht="24" customHeight="1">
      <c r="A39" s="330"/>
      <c r="C39" s="46"/>
      <c r="D39" s="188"/>
      <c r="E39" s="515" t="s">
        <v>757</v>
      </c>
      <c r="F39" s="29" t="s">
        <v>758</v>
      </c>
      <c r="G39" s="169" t="s">
        <v>555</v>
      </c>
      <c r="H39" s="176"/>
      <c r="I39" s="176"/>
      <c r="J39" s="176"/>
      <c r="K39" s="29" t="s">
        <v>759</v>
      </c>
      <c r="L39" s="170"/>
      <c r="M39" s="46"/>
      <c r="N39" s="46"/>
      <c r="S39" s="46"/>
      <c r="V39" s="77"/>
      <c r="AB39" s="7"/>
      <c r="AC39" s="7"/>
      <c r="AD39" s="7"/>
      <c r="AE39" s="7"/>
      <c r="AF39" s="7"/>
      <c r="AG39" s="43">
        <v>23</v>
      </c>
    </row>
    <row r="40" spans="1:33" s="43" customFormat="1" ht="24" customHeight="1">
      <c r="A40" s="330"/>
      <c r="C40" s="46"/>
      <c r="D40" s="23"/>
      <c r="E40" s="515" t="s">
        <v>760</v>
      </c>
      <c r="F40" s="29" t="s">
        <v>761</v>
      </c>
      <c r="G40" s="169" t="s">
        <v>555</v>
      </c>
      <c r="H40" s="176"/>
      <c r="I40" s="176"/>
      <c r="J40" s="176"/>
      <c r="K40" s="29" t="s">
        <v>762</v>
      </c>
      <c r="L40" s="170"/>
      <c r="M40" s="46"/>
      <c r="N40" s="46"/>
      <c r="S40" s="46"/>
      <c r="V40" s="77"/>
      <c r="AB40" s="7"/>
      <c r="AC40" s="7"/>
      <c r="AD40" s="7"/>
      <c r="AE40" s="7"/>
      <c r="AF40" s="7"/>
      <c r="AG40" s="43">
        <v>23</v>
      </c>
    </row>
    <row r="41" spans="1:33" s="43" customFormat="1" ht="24" customHeight="1">
      <c r="A41" s="330"/>
      <c r="C41" s="46"/>
      <c r="D41" s="23"/>
      <c r="E41" s="515" t="s">
        <v>763</v>
      </c>
      <c r="F41" s="29" t="s">
        <v>764</v>
      </c>
      <c r="G41" s="169" t="s">
        <v>555</v>
      </c>
      <c r="H41" s="176"/>
      <c r="I41" s="176"/>
      <c r="J41" s="176"/>
      <c r="K41" s="29" t="s">
        <v>765</v>
      </c>
      <c r="L41" s="170"/>
      <c r="M41" s="46"/>
      <c r="N41" s="46"/>
      <c r="S41" s="46"/>
      <c r="V41" s="77"/>
      <c r="AB41" s="7"/>
      <c r="AC41" s="7"/>
      <c r="AD41" s="7"/>
      <c r="AE41" s="7"/>
      <c r="AF41" s="7"/>
      <c r="AG41" s="43">
        <v>23</v>
      </c>
    </row>
    <row r="42" spans="1:33" s="43" customFormat="1" ht="24" customHeight="1">
      <c r="A42" s="330"/>
      <c r="C42" s="46"/>
      <c r="D42" s="23"/>
      <c r="E42" s="515" t="s">
        <v>766</v>
      </c>
      <c r="F42" s="29" t="s">
        <v>767</v>
      </c>
      <c r="G42" s="169" t="s">
        <v>555</v>
      </c>
      <c r="H42" s="176"/>
      <c r="I42" s="176"/>
      <c r="J42" s="176"/>
      <c r="K42" s="29" t="s">
        <v>768</v>
      </c>
      <c r="L42" s="170"/>
      <c r="M42" s="46"/>
      <c r="N42" s="46"/>
      <c r="S42" s="46"/>
      <c r="V42" s="77"/>
      <c r="AB42" s="7"/>
      <c r="AC42" s="7"/>
      <c r="AD42" s="7"/>
      <c r="AE42" s="7"/>
      <c r="AF42" s="7"/>
      <c r="AG42" s="43">
        <v>23</v>
      </c>
    </row>
    <row r="43" spans="1:33" s="43" customFormat="1" ht="35.65" customHeight="1">
      <c r="A43" s="330"/>
      <c r="C43" s="46" t="s">
        <v>591</v>
      </c>
      <c r="D43" s="23"/>
      <c r="E43" s="515" t="s">
        <v>112</v>
      </c>
      <c r="F43" s="29" t="s">
        <v>633</v>
      </c>
      <c r="G43" s="29" t="s">
        <v>769</v>
      </c>
      <c r="H43" s="131"/>
      <c r="I43" s="131"/>
      <c r="J43" s="131"/>
      <c r="K43" s="29" t="s">
        <v>770</v>
      </c>
      <c r="L43" s="170"/>
      <c r="M43" s="46"/>
      <c r="N43" s="46"/>
      <c r="S43" s="46"/>
      <c r="V43" s="77"/>
      <c r="AB43" s="7"/>
      <c r="AC43" s="7"/>
      <c r="AD43" s="7"/>
      <c r="AE43" s="7"/>
      <c r="AF43" s="7"/>
      <c r="AG43" s="43">
        <v>34</v>
      </c>
    </row>
    <row r="44" spans="1:33" s="43" customFormat="1" ht="35.65" customHeight="1">
      <c r="A44" s="330"/>
      <c r="C44" s="46"/>
      <c r="D44" s="23"/>
      <c r="E44" s="515" t="s">
        <v>92</v>
      </c>
      <c r="F44" s="29" t="s">
        <v>771</v>
      </c>
      <c r="G44" s="169" t="s">
        <v>772</v>
      </c>
      <c r="H44" s="171"/>
      <c r="I44" s="171"/>
      <c r="J44" s="171"/>
      <c r="K44" s="29" t="s">
        <v>773</v>
      </c>
      <c r="L44" s="170"/>
      <c r="M44" s="46"/>
      <c r="N44" s="46"/>
      <c r="S44" s="46"/>
      <c r="V44" s="77"/>
      <c r="AB44" s="7"/>
      <c r="AC44" s="7"/>
      <c r="AD44" s="7"/>
      <c r="AE44" s="7"/>
      <c r="AF44" s="7"/>
      <c r="AG44" s="43">
        <v>34</v>
      </c>
    </row>
    <row r="45" spans="1:33" s="43" customFormat="1" ht="24" customHeight="1">
      <c r="A45" s="330"/>
      <c r="C45" s="46"/>
      <c r="D45" s="23"/>
      <c r="E45" s="515" t="s">
        <v>93</v>
      </c>
      <c r="F45" s="29" t="s">
        <v>774</v>
      </c>
      <c r="G45" s="169" t="s">
        <v>775</v>
      </c>
      <c r="H45" s="171"/>
      <c r="I45" s="171"/>
      <c r="J45" s="171"/>
      <c r="K45" s="29" t="s">
        <v>776</v>
      </c>
      <c r="L45" s="170"/>
      <c r="M45" s="46"/>
      <c r="N45" s="46"/>
      <c r="S45" s="46"/>
      <c r="V45" s="77"/>
      <c r="AB45" s="7"/>
      <c r="AC45" s="7"/>
      <c r="AD45" s="7"/>
      <c r="AE45" s="7"/>
      <c r="AF45" s="7"/>
      <c r="AG45" s="43">
        <v>23</v>
      </c>
    </row>
    <row r="46" spans="1:33" s="43" customFormat="1" ht="19.899999999999999" customHeight="1">
      <c r="A46" s="330"/>
      <c r="C46" s="46"/>
      <c r="D46" s="23"/>
      <c r="E46" s="515" t="s">
        <v>113</v>
      </c>
      <c r="F46" s="29" t="s">
        <v>777</v>
      </c>
      <c r="G46" s="169" t="s">
        <v>593</v>
      </c>
      <c r="H46" s="189"/>
      <c r="I46" s="189"/>
      <c r="J46" s="189"/>
      <c r="K46" s="29"/>
      <c r="L46" s="170"/>
      <c r="M46" s="46"/>
      <c r="N46" s="46"/>
      <c r="S46" s="46"/>
      <c r="V46" s="77"/>
      <c r="AB46" s="7"/>
      <c r="AC46" s="7"/>
      <c r="AD46" s="7"/>
      <c r="AE46" s="7"/>
      <c r="AF46" s="7"/>
      <c r="AG46" s="43">
        <v>19</v>
      </c>
    </row>
    <row r="47" spans="1:33" ht="11.45" customHeight="1">
      <c r="D47" s="23"/>
      <c r="AG47" s="4">
        <v>11</v>
      </c>
    </row>
    <row r="48" spans="1:33" s="117" customFormat="1" ht="11.45" customHeight="1">
      <c r="A48" s="330"/>
      <c r="B48" s="46"/>
      <c r="C48" s="46"/>
      <c r="L48" s="43"/>
      <c r="M48" s="46"/>
      <c r="N48" s="46"/>
      <c r="O48" s="43"/>
      <c r="P48" s="43"/>
      <c r="Q48" s="43"/>
      <c r="R48" s="43"/>
      <c r="S48" s="46"/>
      <c r="T48" s="43"/>
      <c r="U48" s="43"/>
      <c r="V48" s="77"/>
      <c r="W48" s="43"/>
      <c r="X48" s="43"/>
      <c r="Y48" s="43"/>
      <c r="Z48" s="43"/>
      <c r="AA48" s="43"/>
      <c r="AB48" s="7"/>
      <c r="AC48" s="88"/>
      <c r="AD48" s="88"/>
      <c r="AE48" s="88"/>
      <c r="AF48" s="88"/>
      <c r="AG48" s="117">
        <v>11</v>
      </c>
    </row>
    <row r="49" spans="1:33" s="117" customFormat="1" ht="11.45" customHeight="1">
      <c r="A49" s="330"/>
      <c r="B49" s="46"/>
      <c r="C49" s="46"/>
      <c r="L49" s="43"/>
      <c r="M49" s="46"/>
      <c r="N49" s="46"/>
      <c r="O49" s="43"/>
      <c r="P49" s="43"/>
      <c r="Q49" s="43"/>
      <c r="R49" s="43"/>
      <c r="S49" s="46"/>
      <c r="T49" s="43"/>
      <c r="U49" s="43"/>
      <c r="V49" s="77"/>
      <c r="W49" s="43"/>
      <c r="X49" s="43"/>
      <c r="Y49" s="43"/>
      <c r="Z49" s="43"/>
      <c r="AA49" s="43"/>
      <c r="AB49" s="7"/>
      <c r="AC49" s="88"/>
      <c r="AD49" s="88"/>
      <c r="AE49" s="88"/>
      <c r="AF49" s="88"/>
      <c r="AG49" s="117">
        <v>11</v>
      </c>
    </row>
    <row r="50" spans="1:33" s="117" customFormat="1" ht="11.45" customHeight="1">
      <c r="A50" s="330"/>
      <c r="B50" s="46"/>
      <c r="C50" s="46"/>
      <c r="H50" s="88"/>
      <c r="I50" s="88"/>
      <c r="J50" s="88"/>
      <c r="L50" s="43"/>
      <c r="M50" s="46"/>
      <c r="N50" s="46"/>
      <c r="O50" s="43"/>
      <c r="P50" s="43"/>
      <c r="Q50" s="43"/>
      <c r="R50" s="43"/>
      <c r="S50" s="46"/>
      <c r="T50" s="43"/>
      <c r="U50" s="43"/>
      <c r="V50" s="77"/>
      <c r="W50" s="43"/>
      <c r="X50" s="43"/>
      <c r="Y50" s="43"/>
      <c r="Z50" s="43"/>
      <c r="AA50" s="43"/>
      <c r="AB50" s="7"/>
      <c r="AC50" s="88"/>
      <c r="AD50" s="88"/>
      <c r="AE50" s="88"/>
      <c r="AF50" s="88"/>
      <c r="AG50" s="117">
        <v>11</v>
      </c>
    </row>
    <row r="51" spans="1:33" s="117" customFormat="1" ht="11.45" customHeight="1">
      <c r="A51" s="330"/>
      <c r="B51" s="46"/>
      <c r="C51" s="46"/>
      <c r="L51" s="43"/>
      <c r="M51" s="46"/>
      <c r="N51" s="46"/>
      <c r="O51" s="43"/>
      <c r="P51" s="43"/>
      <c r="Q51" s="43"/>
      <c r="R51" s="43"/>
      <c r="S51" s="46"/>
      <c r="T51" s="43"/>
      <c r="U51" s="43"/>
      <c r="V51" s="77"/>
      <c r="W51" s="43"/>
      <c r="X51" s="43"/>
      <c r="Y51" s="43"/>
      <c r="Z51" s="43"/>
      <c r="AA51" s="43"/>
      <c r="AB51" s="7"/>
      <c r="AC51" s="88"/>
      <c r="AD51" s="88"/>
      <c r="AE51" s="88"/>
      <c r="AF51" s="88"/>
      <c r="AG51" s="117">
        <v>11</v>
      </c>
    </row>
    <row r="52" spans="1:33" s="117" customFormat="1" ht="11.45" customHeight="1">
      <c r="A52" s="330"/>
      <c r="B52" s="46"/>
      <c r="C52" s="46"/>
      <c r="L52" s="43"/>
      <c r="M52" s="46"/>
      <c r="N52" s="46"/>
      <c r="O52" s="43"/>
      <c r="P52" s="43"/>
      <c r="Q52" s="43"/>
      <c r="R52" s="43"/>
      <c r="S52" s="46"/>
      <c r="T52" s="43"/>
      <c r="U52" s="43"/>
      <c r="V52" s="77"/>
      <c r="W52" s="43"/>
      <c r="X52" s="43"/>
      <c r="Y52" s="43"/>
      <c r="Z52" s="43"/>
      <c r="AA52" s="43"/>
      <c r="AB52" s="7"/>
      <c r="AC52" s="88"/>
      <c r="AD52" s="88"/>
      <c r="AE52" s="88"/>
      <c r="AF52" s="88"/>
      <c r="AG52" s="117">
        <v>11</v>
      </c>
    </row>
    <row r="53" spans="1:33" s="117" customFormat="1" ht="11.45" customHeight="1">
      <c r="A53" s="330"/>
      <c r="B53" s="46"/>
      <c r="C53" s="46"/>
      <c r="L53" s="43"/>
      <c r="M53" s="46"/>
      <c r="N53" s="46"/>
      <c r="O53" s="43"/>
      <c r="P53" s="43"/>
      <c r="Q53" s="43"/>
      <c r="R53" s="43"/>
      <c r="S53" s="46"/>
      <c r="T53" s="43"/>
      <c r="U53" s="43"/>
      <c r="V53" s="77"/>
      <c r="W53" s="43"/>
      <c r="X53" s="43"/>
      <c r="Y53" s="43"/>
      <c r="Z53" s="43"/>
      <c r="AA53" s="43"/>
      <c r="AB53" s="7"/>
      <c r="AC53" s="88"/>
      <c r="AD53" s="88"/>
      <c r="AE53" s="88"/>
      <c r="AF53" s="88"/>
      <c r="AG53" s="117">
        <v>11</v>
      </c>
    </row>
    <row r="54" spans="1:33" s="117" customFormat="1" ht="11.45" customHeight="1">
      <c r="A54" s="330"/>
      <c r="B54" s="46"/>
      <c r="C54" s="46"/>
      <c r="L54" s="43"/>
      <c r="M54" s="46"/>
      <c r="N54" s="46"/>
      <c r="O54" s="43"/>
      <c r="P54" s="43"/>
      <c r="Q54" s="43"/>
      <c r="R54" s="43"/>
      <c r="S54" s="46"/>
      <c r="T54" s="43"/>
      <c r="U54" s="43"/>
      <c r="V54" s="77"/>
      <c r="W54" s="43"/>
      <c r="X54" s="43"/>
      <c r="Y54" s="43"/>
      <c r="Z54" s="43"/>
      <c r="AA54" s="43"/>
      <c r="AB54" s="7"/>
      <c r="AC54" s="88"/>
      <c r="AD54" s="88"/>
      <c r="AE54" s="88"/>
      <c r="AF54" s="88"/>
      <c r="AG54" s="117">
        <v>11</v>
      </c>
    </row>
    <row r="55" spans="1:33" s="117" customFormat="1" ht="11.45" customHeight="1">
      <c r="A55" s="330"/>
      <c r="B55" s="46"/>
      <c r="C55" s="46"/>
      <c r="L55" s="43"/>
      <c r="M55" s="46"/>
      <c r="N55" s="46"/>
      <c r="O55" s="43"/>
      <c r="P55" s="43"/>
      <c r="Q55" s="43"/>
      <c r="R55" s="43"/>
      <c r="S55" s="46"/>
      <c r="T55" s="43"/>
      <c r="U55" s="43"/>
      <c r="V55" s="77"/>
      <c r="W55" s="43"/>
      <c r="X55" s="43"/>
      <c r="Y55" s="43"/>
      <c r="Z55" s="43"/>
      <c r="AA55" s="43"/>
      <c r="AB55" s="7"/>
      <c r="AC55" s="88"/>
      <c r="AD55" s="88"/>
      <c r="AE55" s="88"/>
      <c r="AF55" s="88"/>
      <c r="AG55" s="117">
        <v>11</v>
      </c>
    </row>
    <row r="56" spans="1:33" s="117" customFormat="1" ht="11.45" customHeight="1">
      <c r="A56" s="330"/>
      <c r="B56" s="46"/>
      <c r="C56" s="46"/>
      <c r="L56" s="43"/>
      <c r="M56" s="46"/>
      <c r="N56" s="46"/>
      <c r="O56" s="43"/>
      <c r="P56" s="43"/>
      <c r="Q56" s="43"/>
      <c r="R56" s="43"/>
      <c r="S56" s="46"/>
      <c r="T56" s="43"/>
      <c r="U56" s="43"/>
      <c r="V56" s="77"/>
      <c r="W56" s="43"/>
      <c r="X56" s="43"/>
      <c r="Y56" s="43"/>
      <c r="Z56" s="43"/>
      <c r="AA56" s="43"/>
      <c r="AB56" s="7"/>
      <c r="AC56" s="88"/>
      <c r="AD56" s="88"/>
      <c r="AE56" s="88"/>
      <c r="AF56" s="88"/>
      <c r="AG56" s="117">
        <v>11</v>
      </c>
    </row>
    <row r="57" spans="1:33" s="117" customFormat="1" ht="11.45" customHeight="1">
      <c r="A57" s="330"/>
      <c r="B57" s="46"/>
      <c r="C57" s="46"/>
      <c r="L57" s="43"/>
      <c r="M57" s="46"/>
      <c r="N57" s="46"/>
      <c r="O57" s="43"/>
      <c r="P57" s="43"/>
      <c r="Q57" s="43"/>
      <c r="R57" s="43"/>
      <c r="S57" s="46"/>
      <c r="T57" s="43"/>
      <c r="U57" s="43"/>
      <c r="V57" s="77"/>
      <c r="W57" s="43"/>
      <c r="X57" s="43"/>
      <c r="Y57" s="43"/>
      <c r="Z57" s="43"/>
      <c r="AA57" s="43"/>
      <c r="AB57" s="7"/>
      <c r="AC57" s="88"/>
      <c r="AD57" s="88"/>
      <c r="AE57" s="88"/>
      <c r="AF57" s="88"/>
      <c r="AG57" s="117">
        <v>11</v>
      </c>
    </row>
    <row r="58" spans="1:33" s="117" customFormat="1" ht="11.45" customHeight="1">
      <c r="A58" s="330"/>
      <c r="B58" s="46"/>
      <c r="C58" s="46"/>
      <c r="L58" s="43"/>
      <c r="M58" s="46"/>
      <c r="N58" s="46"/>
      <c r="O58" s="43"/>
      <c r="P58" s="43"/>
      <c r="Q58" s="43"/>
      <c r="R58" s="43"/>
      <c r="S58" s="46"/>
      <c r="T58" s="43"/>
      <c r="U58" s="43"/>
      <c r="V58" s="77"/>
      <c r="W58" s="43"/>
      <c r="X58" s="43"/>
      <c r="Y58" s="43"/>
      <c r="Z58" s="43"/>
      <c r="AA58" s="43"/>
      <c r="AB58" s="7"/>
      <c r="AC58" s="88"/>
      <c r="AD58" s="88"/>
      <c r="AE58" s="88"/>
      <c r="AF58" s="88"/>
      <c r="AG58" s="117">
        <v>11</v>
      </c>
    </row>
    <row r="59" spans="1:33" s="117" customFormat="1" ht="11.45" customHeight="1">
      <c r="A59" s="330"/>
      <c r="B59" s="46"/>
      <c r="C59" s="46"/>
      <c r="L59" s="43"/>
      <c r="M59" s="46"/>
      <c r="N59" s="46"/>
      <c r="O59" s="43"/>
      <c r="P59" s="43"/>
      <c r="Q59" s="43"/>
      <c r="R59" s="43"/>
      <c r="S59" s="46"/>
      <c r="T59" s="43"/>
      <c r="U59" s="43"/>
      <c r="V59" s="77"/>
      <c r="W59" s="43"/>
      <c r="X59" s="43"/>
      <c r="Y59" s="43"/>
      <c r="Z59" s="43"/>
      <c r="AA59" s="43"/>
      <c r="AB59" s="7"/>
      <c r="AC59" s="88"/>
      <c r="AD59" s="88"/>
      <c r="AE59" s="88"/>
      <c r="AF59" s="88"/>
      <c r="AG59" s="117">
        <v>11</v>
      </c>
    </row>
    <row r="60" spans="1:33" s="117" customFormat="1" ht="11.45" customHeight="1">
      <c r="A60" s="330"/>
      <c r="B60" s="46"/>
      <c r="C60" s="46"/>
      <c r="L60" s="43"/>
      <c r="M60" s="46"/>
      <c r="N60" s="46"/>
      <c r="O60" s="43"/>
      <c r="P60" s="43"/>
      <c r="Q60" s="43"/>
      <c r="R60" s="43"/>
      <c r="S60" s="46"/>
      <c r="T60" s="43"/>
      <c r="U60" s="43"/>
      <c r="V60" s="77"/>
      <c r="W60" s="43"/>
      <c r="X60" s="43"/>
      <c r="Y60" s="43"/>
      <c r="Z60" s="43"/>
      <c r="AA60" s="43"/>
      <c r="AB60" s="7"/>
      <c r="AC60" s="88"/>
      <c r="AD60" s="88"/>
      <c r="AE60" s="88"/>
      <c r="AF60" s="88"/>
      <c r="AG60" s="117">
        <v>11</v>
      </c>
    </row>
    <row r="61" spans="1:33" s="117" customFormat="1" ht="11.45" customHeight="1">
      <c r="A61" s="330"/>
      <c r="B61" s="46"/>
      <c r="C61" s="46"/>
      <c r="L61" s="43"/>
      <c r="M61" s="46"/>
      <c r="N61" s="46"/>
      <c r="O61" s="43"/>
      <c r="P61" s="43"/>
      <c r="Q61" s="43"/>
      <c r="R61" s="43"/>
      <c r="S61" s="46"/>
      <c r="T61" s="43"/>
      <c r="U61" s="43"/>
      <c r="V61" s="77"/>
      <c r="W61" s="43"/>
      <c r="X61" s="43"/>
      <c r="Y61" s="43"/>
      <c r="Z61" s="43"/>
      <c r="AA61" s="43"/>
      <c r="AB61" s="7"/>
      <c r="AC61" s="88"/>
      <c r="AD61" s="88"/>
      <c r="AE61" s="88"/>
      <c r="AF61" s="88"/>
      <c r="AG61" s="117">
        <v>11</v>
      </c>
    </row>
    <row r="62" spans="1:33" s="117" customFormat="1" ht="11.45" customHeight="1">
      <c r="A62" s="330"/>
      <c r="B62" s="46"/>
      <c r="C62" s="46"/>
      <c r="L62" s="43"/>
      <c r="M62" s="46"/>
      <c r="N62" s="46"/>
      <c r="O62" s="43"/>
      <c r="P62" s="43"/>
      <c r="Q62" s="43"/>
      <c r="R62" s="43"/>
      <c r="S62" s="46"/>
      <c r="T62" s="43"/>
      <c r="U62" s="43"/>
      <c r="V62" s="77"/>
      <c r="W62" s="43"/>
      <c r="X62" s="43"/>
      <c r="Y62" s="43"/>
      <c r="Z62" s="43"/>
      <c r="AA62" s="43"/>
      <c r="AB62" s="7"/>
      <c r="AC62" s="88"/>
      <c r="AD62" s="88"/>
      <c r="AE62" s="88"/>
      <c r="AF62" s="88"/>
      <c r="AG62" s="117">
        <v>11</v>
      </c>
    </row>
    <row r="63" spans="1:33" s="117" customFormat="1" ht="11.45" customHeight="1">
      <c r="A63" s="330"/>
      <c r="B63" s="46"/>
      <c r="C63" s="46"/>
      <c r="L63" s="43"/>
      <c r="M63" s="46"/>
      <c r="N63" s="46"/>
      <c r="O63" s="43"/>
      <c r="P63" s="43"/>
      <c r="Q63" s="43"/>
      <c r="R63" s="43"/>
      <c r="S63" s="46"/>
      <c r="T63" s="43"/>
      <c r="U63" s="43"/>
      <c r="V63" s="77"/>
      <c r="W63" s="43"/>
      <c r="X63" s="43"/>
      <c r="Y63" s="43"/>
      <c r="Z63" s="43"/>
      <c r="AA63" s="43"/>
      <c r="AB63" s="7"/>
      <c r="AC63" s="88"/>
      <c r="AD63" s="88"/>
      <c r="AE63" s="88"/>
      <c r="AF63" s="88"/>
      <c r="AG63" s="117">
        <v>11</v>
      </c>
    </row>
    <row r="64" spans="1:33" s="117" customFormat="1" ht="11.45" customHeight="1">
      <c r="A64" s="330"/>
      <c r="B64" s="46"/>
      <c r="C64" s="46"/>
      <c r="L64" s="43"/>
      <c r="M64" s="46"/>
      <c r="N64" s="46"/>
      <c r="O64" s="43"/>
      <c r="P64" s="43"/>
      <c r="Q64" s="43"/>
      <c r="R64" s="43"/>
      <c r="S64" s="46"/>
      <c r="T64" s="43"/>
      <c r="U64" s="43"/>
      <c r="V64" s="77"/>
      <c r="W64" s="43"/>
      <c r="X64" s="43"/>
      <c r="Y64" s="43"/>
      <c r="Z64" s="43"/>
      <c r="AA64" s="43"/>
      <c r="AB64" s="7"/>
      <c r="AC64" s="88"/>
      <c r="AD64" s="88"/>
      <c r="AE64" s="88"/>
      <c r="AF64" s="88"/>
      <c r="AG64" s="117">
        <v>11</v>
      </c>
    </row>
    <row r="65" spans="1:33" s="117" customFormat="1" ht="11.45" customHeight="1">
      <c r="A65" s="330"/>
      <c r="B65" s="46"/>
      <c r="C65" s="46"/>
      <c r="L65" s="43"/>
      <c r="M65" s="46"/>
      <c r="N65" s="46"/>
      <c r="O65" s="43"/>
      <c r="P65" s="43"/>
      <c r="Q65" s="43"/>
      <c r="R65" s="43"/>
      <c r="S65" s="46"/>
      <c r="T65" s="43"/>
      <c r="U65" s="43"/>
      <c r="V65" s="77"/>
      <c r="W65" s="43"/>
      <c r="X65" s="43"/>
      <c r="Y65" s="43"/>
      <c r="Z65" s="43"/>
      <c r="AA65" s="43"/>
      <c r="AB65" s="7"/>
      <c r="AC65" s="88"/>
      <c r="AD65" s="88"/>
      <c r="AE65" s="88"/>
      <c r="AF65" s="88"/>
      <c r="AG65" s="117">
        <v>11</v>
      </c>
    </row>
    <row r="66" spans="1:33" s="117" customFormat="1" ht="11.45" customHeight="1">
      <c r="A66" s="330"/>
      <c r="B66" s="46"/>
      <c r="C66" s="46"/>
      <c r="L66" s="43"/>
      <c r="M66" s="46"/>
      <c r="N66" s="46"/>
      <c r="O66" s="43"/>
      <c r="P66" s="43"/>
      <c r="Q66" s="43"/>
      <c r="R66" s="43"/>
      <c r="S66" s="46"/>
      <c r="T66" s="43"/>
      <c r="U66" s="43"/>
      <c r="V66" s="77"/>
      <c r="W66" s="43"/>
      <c r="X66" s="43"/>
      <c r="Y66" s="43"/>
      <c r="Z66" s="43"/>
      <c r="AA66" s="43"/>
      <c r="AB66" s="7"/>
      <c r="AC66" s="88"/>
      <c r="AD66" s="88"/>
      <c r="AE66" s="88"/>
      <c r="AF66" s="88"/>
      <c r="AG66" s="117">
        <v>11</v>
      </c>
    </row>
    <row r="67" spans="1:33" s="117" customFormat="1" ht="11.45" customHeight="1">
      <c r="A67" s="330"/>
      <c r="B67" s="46"/>
      <c r="C67" s="46"/>
      <c r="L67" s="43"/>
      <c r="M67" s="46"/>
      <c r="N67" s="46"/>
      <c r="O67" s="43"/>
      <c r="P67" s="43"/>
      <c r="Q67" s="43"/>
      <c r="R67" s="43"/>
      <c r="S67" s="46"/>
      <c r="T67" s="43"/>
      <c r="U67" s="43"/>
      <c r="V67" s="77"/>
      <c r="W67" s="43"/>
      <c r="X67" s="43"/>
      <c r="Y67" s="43"/>
      <c r="Z67" s="43"/>
      <c r="AA67" s="43"/>
      <c r="AB67" s="7"/>
      <c r="AC67" s="88"/>
      <c r="AD67" s="88"/>
      <c r="AE67" s="88"/>
      <c r="AF67" s="88"/>
      <c r="AG67" s="117">
        <v>11</v>
      </c>
    </row>
    <row r="68" spans="1:33" s="117" customFormat="1" ht="11.45" customHeight="1">
      <c r="A68" s="330"/>
      <c r="B68" s="46"/>
      <c r="C68" s="46"/>
      <c r="L68" s="43"/>
      <c r="M68" s="46"/>
      <c r="N68" s="46"/>
      <c r="O68" s="43"/>
      <c r="P68" s="43"/>
      <c r="Q68" s="43"/>
      <c r="R68" s="43"/>
      <c r="S68" s="46"/>
      <c r="T68" s="43"/>
      <c r="U68" s="43"/>
      <c r="V68" s="77"/>
      <c r="W68" s="43"/>
      <c r="X68" s="43"/>
      <c r="Y68" s="43"/>
      <c r="Z68" s="43"/>
      <c r="AA68" s="43"/>
      <c r="AB68" s="7"/>
      <c r="AC68" s="88"/>
      <c r="AD68" s="88"/>
      <c r="AE68" s="88"/>
      <c r="AF68" s="88"/>
      <c r="AG68" s="117">
        <v>11</v>
      </c>
    </row>
    <row r="69" spans="1:33" s="117" customFormat="1" ht="11.45" customHeight="1">
      <c r="A69" s="330"/>
      <c r="B69" s="46"/>
      <c r="C69" s="46"/>
      <c r="L69" s="43"/>
      <c r="M69" s="46"/>
      <c r="N69" s="46"/>
      <c r="O69" s="43"/>
      <c r="P69" s="43"/>
      <c r="Q69" s="43"/>
      <c r="R69" s="43"/>
      <c r="S69" s="46"/>
      <c r="T69" s="43"/>
      <c r="U69" s="43"/>
      <c r="V69" s="77"/>
      <c r="W69" s="43"/>
      <c r="X69" s="43"/>
      <c r="Y69" s="43"/>
      <c r="Z69" s="43"/>
      <c r="AA69" s="43"/>
      <c r="AB69" s="7"/>
      <c r="AC69" s="88"/>
      <c r="AD69" s="88"/>
      <c r="AE69" s="88"/>
      <c r="AF69" s="88"/>
      <c r="AG69" s="117">
        <v>11</v>
      </c>
    </row>
    <row r="70" spans="1:33" s="117" customFormat="1" ht="11.45" customHeight="1">
      <c r="A70" s="330"/>
      <c r="B70" s="46"/>
      <c r="C70" s="46"/>
      <c r="L70" s="43"/>
      <c r="M70" s="46"/>
      <c r="N70" s="46"/>
      <c r="O70" s="43"/>
      <c r="P70" s="43"/>
      <c r="Q70" s="43"/>
      <c r="R70" s="43"/>
      <c r="S70" s="46"/>
      <c r="T70" s="43"/>
      <c r="U70" s="43"/>
      <c r="V70" s="77"/>
      <c r="W70" s="43"/>
      <c r="X70" s="43"/>
      <c r="Y70" s="43"/>
      <c r="Z70" s="43"/>
      <c r="AA70" s="43"/>
      <c r="AB70" s="7"/>
      <c r="AC70" s="88"/>
      <c r="AD70" s="88"/>
      <c r="AE70" s="88"/>
      <c r="AF70" s="88"/>
      <c r="AG70" s="117">
        <v>11</v>
      </c>
    </row>
    <row r="71" spans="1:33" s="117" customFormat="1" ht="11.45" customHeight="1">
      <c r="A71" s="330"/>
      <c r="B71" s="46"/>
      <c r="C71" s="46"/>
      <c r="L71" s="43"/>
      <c r="M71" s="46"/>
      <c r="N71" s="46"/>
      <c r="O71" s="43"/>
      <c r="P71" s="43"/>
      <c r="Q71" s="43"/>
      <c r="R71" s="43"/>
      <c r="S71" s="46"/>
      <c r="T71" s="43"/>
      <c r="U71" s="43"/>
      <c r="V71" s="77"/>
      <c r="W71" s="43"/>
      <c r="X71" s="43"/>
      <c r="Y71" s="43"/>
      <c r="Z71" s="43"/>
      <c r="AA71" s="43"/>
      <c r="AB71" s="7"/>
      <c r="AC71" s="88"/>
      <c r="AD71" s="88"/>
      <c r="AE71" s="88"/>
      <c r="AF71" s="88"/>
      <c r="AG71" s="117">
        <v>11</v>
      </c>
    </row>
    <row r="72" spans="1:33" s="117" customFormat="1" ht="11.45" customHeight="1">
      <c r="A72" s="330"/>
      <c r="B72" s="46"/>
      <c r="C72" s="46"/>
      <c r="L72" s="43"/>
      <c r="M72" s="46"/>
      <c r="N72" s="46"/>
      <c r="O72" s="43"/>
      <c r="P72" s="43"/>
      <c r="Q72" s="43"/>
      <c r="R72" s="43"/>
      <c r="S72" s="46"/>
      <c r="T72" s="43"/>
      <c r="U72" s="43"/>
      <c r="V72" s="77"/>
      <c r="W72" s="43"/>
      <c r="X72" s="43"/>
      <c r="Y72" s="43"/>
      <c r="Z72" s="43"/>
      <c r="AA72" s="43"/>
      <c r="AB72" s="7"/>
      <c r="AC72" s="88"/>
      <c r="AD72" s="88"/>
      <c r="AE72" s="88"/>
      <c r="AF72" s="88"/>
      <c r="AG72" s="117">
        <v>11</v>
      </c>
    </row>
    <row r="73" spans="1:33" s="117" customFormat="1" ht="11.45" customHeight="1">
      <c r="A73" s="330"/>
      <c r="B73" s="46"/>
      <c r="C73" s="46"/>
      <c r="L73" s="43"/>
      <c r="M73" s="46"/>
      <c r="N73" s="46"/>
      <c r="O73" s="43"/>
      <c r="P73" s="43"/>
      <c r="Q73" s="43"/>
      <c r="R73" s="43"/>
      <c r="S73" s="46"/>
      <c r="T73" s="43"/>
      <c r="U73" s="43"/>
      <c r="V73" s="77"/>
      <c r="W73" s="43"/>
      <c r="X73" s="43"/>
      <c r="Y73" s="43"/>
      <c r="Z73" s="43"/>
      <c r="AA73" s="43"/>
      <c r="AB73" s="7"/>
      <c r="AC73" s="88"/>
      <c r="AD73" s="88"/>
      <c r="AE73" s="88"/>
      <c r="AF73" s="88"/>
      <c r="AG73" s="117">
        <v>11</v>
      </c>
    </row>
    <row r="74" spans="1:33" s="117" customFormat="1" ht="11.45" customHeight="1">
      <c r="A74" s="330"/>
      <c r="B74" s="46"/>
      <c r="C74" s="46"/>
      <c r="L74" s="43"/>
      <c r="M74" s="46"/>
      <c r="N74" s="46"/>
      <c r="O74" s="43"/>
      <c r="P74" s="43"/>
      <c r="Q74" s="43"/>
      <c r="R74" s="43"/>
      <c r="S74" s="46"/>
      <c r="T74" s="43"/>
      <c r="U74" s="43"/>
      <c r="V74" s="77"/>
      <c r="W74" s="43"/>
      <c r="X74" s="43"/>
      <c r="Y74" s="43"/>
      <c r="Z74" s="43"/>
      <c r="AA74" s="43"/>
      <c r="AB74" s="7"/>
      <c r="AC74" s="88"/>
      <c r="AD74" s="88"/>
      <c r="AE74" s="88"/>
      <c r="AF74" s="88"/>
      <c r="AG74" s="117">
        <v>11</v>
      </c>
    </row>
    <row r="75" spans="1:33" s="117" customFormat="1" ht="11.45" customHeight="1">
      <c r="A75" s="330"/>
      <c r="B75" s="46"/>
      <c r="C75" s="46"/>
      <c r="L75" s="43"/>
      <c r="M75" s="46"/>
      <c r="N75" s="46"/>
      <c r="O75" s="43"/>
      <c r="P75" s="43"/>
      <c r="Q75" s="43"/>
      <c r="R75" s="43"/>
      <c r="S75" s="46"/>
      <c r="T75" s="43"/>
      <c r="U75" s="43"/>
      <c r="V75" s="77"/>
      <c r="W75" s="43"/>
      <c r="X75" s="43"/>
      <c r="Y75" s="43"/>
      <c r="Z75" s="43"/>
      <c r="AA75" s="43"/>
      <c r="AB75" s="7"/>
      <c r="AC75" s="88"/>
      <c r="AD75" s="88"/>
      <c r="AE75" s="88"/>
      <c r="AF75" s="88"/>
      <c r="AG75" s="117">
        <v>11</v>
      </c>
    </row>
    <row r="76" spans="1:33" s="117" customFormat="1" ht="11.45" customHeight="1">
      <c r="A76" s="330"/>
      <c r="B76" s="46"/>
      <c r="C76" s="46"/>
      <c r="L76" s="43"/>
      <c r="M76" s="46"/>
      <c r="N76" s="46"/>
      <c r="O76" s="43"/>
      <c r="P76" s="43"/>
      <c r="Q76" s="43"/>
      <c r="R76" s="43"/>
      <c r="S76" s="46"/>
      <c r="T76" s="43"/>
      <c r="U76" s="43"/>
      <c r="V76" s="77"/>
      <c r="W76" s="43"/>
      <c r="X76" s="43"/>
      <c r="Y76" s="43"/>
      <c r="Z76" s="43"/>
      <c r="AA76" s="43"/>
      <c r="AB76" s="7"/>
      <c r="AC76" s="88"/>
      <c r="AD76" s="88"/>
      <c r="AE76" s="88"/>
      <c r="AF76" s="88"/>
      <c r="AG76" s="117">
        <v>11</v>
      </c>
    </row>
    <row r="77" spans="1:33" s="117" customFormat="1" ht="11.45" customHeight="1">
      <c r="A77" s="330"/>
      <c r="B77" s="46"/>
      <c r="C77" s="46"/>
      <c r="L77" s="43"/>
      <c r="M77" s="46"/>
      <c r="N77" s="46"/>
      <c r="O77" s="43"/>
      <c r="P77" s="43"/>
      <c r="Q77" s="43"/>
      <c r="R77" s="43"/>
      <c r="S77" s="46"/>
      <c r="T77" s="43"/>
      <c r="U77" s="43"/>
      <c r="V77" s="77"/>
      <c r="W77" s="43"/>
      <c r="X77" s="43"/>
      <c r="Y77" s="43"/>
      <c r="Z77" s="43"/>
      <c r="AA77" s="43"/>
      <c r="AB77" s="7"/>
      <c r="AC77" s="88"/>
      <c r="AD77" s="88"/>
      <c r="AE77" s="88"/>
      <c r="AF77" s="88"/>
      <c r="AG77" s="117">
        <v>11</v>
      </c>
    </row>
    <row r="78" spans="1:33" s="117" customFormat="1" ht="11.45" customHeight="1">
      <c r="A78" s="330"/>
      <c r="B78" s="46"/>
      <c r="C78" s="46"/>
      <c r="L78" s="43"/>
      <c r="M78" s="46"/>
      <c r="N78" s="46"/>
      <c r="O78" s="43"/>
      <c r="P78" s="43"/>
      <c r="Q78" s="43"/>
      <c r="R78" s="43"/>
      <c r="S78" s="46"/>
      <c r="T78" s="43"/>
      <c r="U78" s="43"/>
      <c r="V78" s="77"/>
      <c r="W78" s="43"/>
      <c r="X78" s="43"/>
      <c r="Y78" s="43"/>
      <c r="Z78" s="43"/>
      <c r="AA78" s="43"/>
      <c r="AB78" s="7"/>
      <c r="AC78" s="88"/>
      <c r="AD78" s="88"/>
      <c r="AE78" s="88"/>
      <c r="AF78" s="88"/>
      <c r="AG78" s="117">
        <v>11</v>
      </c>
    </row>
    <row r="79" spans="1:33" s="117" customFormat="1" ht="11.45" customHeight="1">
      <c r="A79" s="330"/>
      <c r="B79" s="46"/>
      <c r="C79" s="46"/>
      <c r="L79" s="43"/>
      <c r="M79" s="46"/>
      <c r="N79" s="46"/>
      <c r="O79" s="43"/>
      <c r="P79" s="43"/>
      <c r="Q79" s="43"/>
      <c r="R79" s="43"/>
      <c r="S79" s="46"/>
      <c r="T79" s="43"/>
      <c r="U79" s="43"/>
      <c r="V79" s="77"/>
      <c r="W79" s="43"/>
      <c r="X79" s="43"/>
      <c r="Y79" s="43"/>
      <c r="Z79" s="43"/>
      <c r="AA79" s="43"/>
      <c r="AB79" s="7"/>
      <c r="AC79" s="88"/>
      <c r="AD79" s="88"/>
      <c r="AE79" s="88"/>
      <c r="AF79" s="88"/>
      <c r="AG79" s="117">
        <v>11</v>
      </c>
    </row>
    <row r="80" spans="1:33" s="117" customFormat="1" ht="11.45" customHeight="1">
      <c r="A80" s="330"/>
      <c r="B80" s="46"/>
      <c r="C80" s="46"/>
      <c r="L80" s="43"/>
      <c r="M80" s="46"/>
      <c r="N80" s="46"/>
      <c r="O80" s="43"/>
      <c r="P80" s="43"/>
      <c r="Q80" s="43"/>
      <c r="R80" s="43"/>
      <c r="S80" s="46"/>
      <c r="T80" s="43"/>
      <c r="U80" s="43"/>
      <c r="V80" s="77"/>
      <c r="W80" s="43"/>
      <c r="X80" s="43"/>
      <c r="Y80" s="43"/>
      <c r="Z80" s="43"/>
      <c r="AA80" s="43"/>
      <c r="AB80" s="7"/>
      <c r="AC80" s="88"/>
      <c r="AD80" s="88"/>
      <c r="AE80" s="88"/>
      <c r="AF80" s="88"/>
      <c r="AG80" s="117">
        <v>11</v>
      </c>
    </row>
    <row r="81" spans="1:33" s="117" customFormat="1" ht="11.45" customHeight="1">
      <c r="A81" s="330"/>
      <c r="B81" s="46"/>
      <c r="C81" s="46"/>
      <c r="L81" s="43"/>
      <c r="M81" s="46"/>
      <c r="N81" s="46"/>
      <c r="O81" s="43"/>
      <c r="P81" s="43"/>
      <c r="Q81" s="43"/>
      <c r="R81" s="43"/>
      <c r="S81" s="46"/>
      <c r="T81" s="43"/>
      <c r="U81" s="43"/>
      <c r="V81" s="77"/>
      <c r="W81" s="43"/>
      <c r="X81" s="43"/>
      <c r="Y81" s="43"/>
      <c r="Z81" s="43"/>
      <c r="AA81" s="43"/>
      <c r="AB81" s="7"/>
      <c r="AC81" s="88"/>
      <c r="AD81" s="88"/>
      <c r="AE81" s="88"/>
      <c r="AF81" s="88"/>
      <c r="AG81" s="117">
        <v>11</v>
      </c>
    </row>
    <row r="82" spans="1:33" s="117" customFormat="1" ht="11.45" customHeight="1">
      <c r="A82" s="330"/>
      <c r="B82" s="46"/>
      <c r="C82" s="46"/>
      <c r="L82" s="43"/>
      <c r="M82" s="46"/>
      <c r="N82" s="46"/>
      <c r="O82" s="43"/>
      <c r="P82" s="43"/>
      <c r="Q82" s="43"/>
      <c r="R82" s="43"/>
      <c r="S82" s="46"/>
      <c r="T82" s="43"/>
      <c r="U82" s="43"/>
      <c r="V82" s="77"/>
      <c r="W82" s="43"/>
      <c r="X82" s="43"/>
      <c r="Y82" s="43"/>
      <c r="Z82" s="43"/>
      <c r="AA82" s="43"/>
      <c r="AB82" s="7"/>
      <c r="AC82" s="88"/>
      <c r="AD82" s="88"/>
      <c r="AE82" s="88"/>
      <c r="AF82" s="88"/>
      <c r="AG82" s="117">
        <v>11</v>
      </c>
    </row>
    <row r="83" spans="1:33" s="117" customFormat="1" ht="11.45" customHeight="1">
      <c r="A83" s="330"/>
      <c r="B83" s="46"/>
      <c r="C83" s="46"/>
      <c r="L83" s="43"/>
      <c r="M83" s="46"/>
      <c r="N83" s="46"/>
      <c r="O83" s="43"/>
      <c r="P83" s="43"/>
      <c r="Q83" s="43"/>
      <c r="R83" s="43"/>
      <c r="S83" s="46"/>
      <c r="T83" s="43"/>
      <c r="U83" s="43"/>
      <c r="V83" s="77"/>
      <c r="W83" s="43"/>
      <c r="X83" s="43"/>
      <c r="Y83" s="43"/>
      <c r="Z83" s="43"/>
      <c r="AA83" s="43"/>
      <c r="AB83" s="7"/>
      <c r="AC83" s="88"/>
      <c r="AD83" s="88"/>
      <c r="AE83" s="88"/>
      <c r="AF83" s="88"/>
      <c r="AG83" s="117">
        <v>11</v>
      </c>
    </row>
    <row r="84" spans="1:33" s="117" customFormat="1" ht="11.45" customHeight="1">
      <c r="A84" s="330"/>
      <c r="B84" s="46"/>
      <c r="C84" s="46"/>
      <c r="L84" s="43"/>
      <c r="M84" s="46"/>
      <c r="N84" s="46"/>
      <c r="O84" s="43"/>
      <c r="P84" s="43"/>
      <c r="Q84" s="43"/>
      <c r="R84" s="43"/>
      <c r="S84" s="46"/>
      <c r="T84" s="43"/>
      <c r="U84" s="43"/>
      <c r="V84" s="77"/>
      <c r="W84" s="43"/>
      <c r="X84" s="43"/>
      <c r="Y84" s="43"/>
      <c r="Z84" s="43"/>
      <c r="AA84" s="43"/>
      <c r="AB84" s="7"/>
      <c r="AC84" s="88"/>
      <c r="AD84" s="88"/>
      <c r="AE84" s="88"/>
      <c r="AF84" s="88"/>
      <c r="AG84" s="117">
        <v>11</v>
      </c>
    </row>
    <row r="85" spans="1:33" s="117" customFormat="1" ht="11.45" customHeight="1">
      <c r="A85" s="330"/>
      <c r="B85" s="46"/>
      <c r="C85" s="46"/>
      <c r="L85" s="43"/>
      <c r="M85" s="46"/>
      <c r="N85" s="46"/>
      <c r="O85" s="43"/>
      <c r="P85" s="43"/>
      <c r="Q85" s="43"/>
      <c r="R85" s="43"/>
      <c r="S85" s="46"/>
      <c r="T85" s="43"/>
      <c r="U85" s="43"/>
      <c r="V85" s="77"/>
      <c r="W85" s="43"/>
      <c r="X85" s="43"/>
      <c r="Y85" s="43"/>
      <c r="Z85" s="43"/>
      <c r="AA85" s="43"/>
      <c r="AB85" s="7"/>
      <c r="AC85" s="88"/>
      <c r="AD85" s="88"/>
      <c r="AE85" s="88"/>
      <c r="AF85" s="88"/>
      <c r="AG85" s="117">
        <v>11</v>
      </c>
    </row>
    <row r="86" spans="1:33" s="117" customFormat="1" ht="11.45" customHeight="1">
      <c r="A86" s="330"/>
      <c r="B86" s="46"/>
      <c r="C86" s="46"/>
      <c r="L86" s="43"/>
      <c r="M86" s="46"/>
      <c r="N86" s="46"/>
      <c r="O86" s="43"/>
      <c r="P86" s="43"/>
      <c r="Q86" s="43"/>
      <c r="R86" s="43"/>
      <c r="S86" s="46"/>
      <c r="T86" s="43"/>
      <c r="U86" s="43"/>
      <c r="V86" s="77"/>
      <c r="W86" s="43"/>
      <c r="X86" s="43"/>
      <c r="Y86" s="43"/>
      <c r="Z86" s="43"/>
      <c r="AA86" s="43"/>
      <c r="AB86" s="7"/>
      <c r="AC86" s="88"/>
      <c r="AD86" s="88"/>
      <c r="AE86" s="88"/>
      <c r="AF86" s="88"/>
      <c r="AG86" s="117">
        <v>11</v>
      </c>
    </row>
    <row r="87" spans="1:33" s="117" customFormat="1" ht="11.45" customHeight="1">
      <c r="A87" s="330"/>
      <c r="B87" s="46"/>
      <c r="C87" s="46"/>
      <c r="L87" s="43"/>
      <c r="M87" s="46"/>
      <c r="N87" s="46"/>
      <c r="O87" s="43"/>
      <c r="P87" s="43"/>
      <c r="Q87" s="43"/>
      <c r="R87" s="43"/>
      <c r="S87" s="46"/>
      <c r="T87" s="43"/>
      <c r="U87" s="43"/>
      <c r="V87" s="77"/>
      <c r="W87" s="43"/>
      <c r="X87" s="43"/>
      <c r="Y87" s="43"/>
      <c r="Z87" s="43"/>
      <c r="AA87" s="43"/>
      <c r="AB87" s="7"/>
      <c r="AC87" s="88"/>
      <c r="AD87" s="88"/>
      <c r="AE87" s="88"/>
      <c r="AF87" s="88"/>
      <c r="AG87" s="117">
        <v>11</v>
      </c>
    </row>
    <row r="88" spans="1:33" s="117" customFormat="1" ht="11.45" customHeight="1">
      <c r="A88" s="330"/>
      <c r="B88" s="46"/>
      <c r="C88" s="46"/>
      <c r="L88" s="43"/>
      <c r="M88" s="46"/>
      <c r="N88" s="46"/>
      <c r="O88" s="43"/>
      <c r="P88" s="43"/>
      <c r="Q88" s="43"/>
      <c r="R88" s="43"/>
      <c r="S88" s="46"/>
      <c r="T88" s="43"/>
      <c r="U88" s="43"/>
      <c r="V88" s="77"/>
      <c r="W88" s="43"/>
      <c r="X88" s="43"/>
      <c r="Y88" s="43"/>
      <c r="Z88" s="43"/>
      <c r="AA88" s="43"/>
      <c r="AB88" s="7"/>
      <c r="AC88" s="88"/>
      <c r="AD88" s="88"/>
      <c r="AE88" s="88"/>
      <c r="AF88" s="88"/>
      <c r="AG88" s="117">
        <v>11</v>
      </c>
    </row>
    <row r="89" spans="1:33" s="117" customFormat="1" ht="11.45" customHeight="1">
      <c r="A89" s="330"/>
      <c r="B89" s="46"/>
      <c r="C89" s="46"/>
      <c r="L89" s="43"/>
      <c r="M89" s="46"/>
      <c r="N89" s="46"/>
      <c r="O89" s="43"/>
      <c r="P89" s="43"/>
      <c r="Q89" s="43"/>
      <c r="R89" s="43"/>
      <c r="S89" s="46"/>
      <c r="T89" s="43"/>
      <c r="U89" s="43"/>
      <c r="V89" s="77"/>
      <c r="W89" s="43"/>
      <c r="X89" s="43"/>
      <c r="Y89" s="43"/>
      <c r="Z89" s="43"/>
      <c r="AA89" s="43"/>
      <c r="AB89" s="7"/>
      <c r="AC89" s="88"/>
      <c r="AD89" s="88"/>
      <c r="AE89" s="88"/>
      <c r="AF89" s="88"/>
      <c r="AG89" s="117">
        <v>11</v>
      </c>
    </row>
    <row r="90" spans="1:33" s="117" customFormat="1" ht="11.45" customHeight="1">
      <c r="A90" s="330"/>
      <c r="B90" s="46"/>
      <c r="C90" s="46"/>
      <c r="L90" s="43"/>
      <c r="M90" s="46"/>
      <c r="N90" s="46"/>
      <c r="O90" s="43"/>
      <c r="P90" s="43"/>
      <c r="Q90" s="43"/>
      <c r="R90" s="43"/>
      <c r="S90" s="46"/>
      <c r="T90" s="43"/>
      <c r="U90" s="43"/>
      <c r="V90" s="77"/>
      <c r="W90" s="43"/>
      <c r="X90" s="43"/>
      <c r="Y90" s="43"/>
      <c r="Z90" s="43"/>
      <c r="AA90" s="43"/>
      <c r="AB90" s="7"/>
      <c r="AC90" s="88"/>
      <c r="AD90" s="88"/>
      <c r="AE90" s="88"/>
      <c r="AF90" s="88"/>
      <c r="AG90" s="117">
        <v>11</v>
      </c>
    </row>
    <row r="91" spans="1:33" s="117" customFormat="1" ht="11.45" customHeight="1">
      <c r="A91" s="330"/>
      <c r="B91" s="46"/>
      <c r="C91" s="46"/>
      <c r="L91" s="43"/>
      <c r="M91" s="46"/>
      <c r="N91" s="46"/>
      <c r="O91" s="43"/>
      <c r="P91" s="43"/>
      <c r="Q91" s="43"/>
      <c r="R91" s="43"/>
      <c r="S91" s="46"/>
      <c r="T91" s="43"/>
      <c r="U91" s="43"/>
      <c r="V91" s="77"/>
      <c r="W91" s="43"/>
      <c r="X91" s="43"/>
      <c r="Y91" s="43"/>
      <c r="Z91" s="43"/>
      <c r="AA91" s="43"/>
      <c r="AB91" s="7"/>
      <c r="AC91" s="88"/>
      <c r="AD91" s="88"/>
      <c r="AE91" s="88"/>
      <c r="AF91" s="88"/>
      <c r="AG91" s="117">
        <v>11</v>
      </c>
    </row>
    <row r="92" spans="1:33" s="117" customFormat="1" ht="11.45" customHeight="1">
      <c r="A92" s="330"/>
      <c r="B92" s="46"/>
      <c r="C92" s="46"/>
      <c r="L92" s="43"/>
      <c r="M92" s="46"/>
      <c r="N92" s="46"/>
      <c r="O92" s="43"/>
      <c r="P92" s="43"/>
      <c r="Q92" s="43"/>
      <c r="R92" s="43"/>
      <c r="S92" s="46"/>
      <c r="T92" s="43"/>
      <c r="U92" s="43"/>
      <c r="V92" s="77"/>
      <c r="W92" s="43"/>
      <c r="X92" s="43"/>
      <c r="Y92" s="43"/>
      <c r="Z92" s="43"/>
      <c r="AA92" s="43"/>
      <c r="AB92" s="7"/>
      <c r="AC92" s="88"/>
      <c r="AD92" s="88"/>
      <c r="AE92" s="88"/>
      <c r="AF92" s="88"/>
      <c r="AG92" s="117">
        <v>11</v>
      </c>
    </row>
    <row r="93" spans="1:33" s="117" customFormat="1" ht="11.45" customHeight="1">
      <c r="A93" s="330"/>
      <c r="B93" s="46"/>
      <c r="C93" s="46"/>
      <c r="L93" s="43"/>
      <c r="M93" s="46"/>
      <c r="N93" s="46"/>
      <c r="O93" s="43"/>
      <c r="P93" s="43"/>
      <c r="Q93" s="43"/>
      <c r="R93" s="43"/>
      <c r="S93" s="46"/>
      <c r="T93" s="43"/>
      <c r="U93" s="43"/>
      <c r="V93" s="77"/>
      <c r="W93" s="43"/>
      <c r="X93" s="43"/>
      <c r="Y93" s="43"/>
      <c r="Z93" s="43"/>
      <c r="AA93" s="43"/>
      <c r="AB93" s="7"/>
      <c r="AC93" s="88"/>
      <c r="AD93" s="88"/>
      <c r="AE93" s="88"/>
      <c r="AF93" s="88"/>
      <c r="AG93" s="117">
        <v>11</v>
      </c>
    </row>
    <row r="94" spans="1:33" s="117" customFormat="1" ht="11.45" customHeight="1">
      <c r="A94" s="330"/>
      <c r="B94" s="46"/>
      <c r="C94" s="46"/>
      <c r="L94" s="43"/>
      <c r="M94" s="46"/>
      <c r="N94" s="46"/>
      <c r="O94" s="43"/>
      <c r="P94" s="43"/>
      <c r="Q94" s="43"/>
      <c r="R94" s="43"/>
      <c r="S94" s="46"/>
      <c r="T94" s="43"/>
      <c r="U94" s="43"/>
      <c r="V94" s="77"/>
      <c r="W94" s="43"/>
      <c r="X94" s="43"/>
      <c r="Y94" s="43"/>
      <c r="Z94" s="43"/>
      <c r="AA94" s="43"/>
      <c r="AB94" s="7"/>
      <c r="AC94" s="88"/>
      <c r="AD94" s="88"/>
      <c r="AE94" s="88"/>
      <c r="AF94" s="88"/>
      <c r="AG94" s="117">
        <v>11</v>
      </c>
    </row>
    <row r="95" spans="1:33" s="117" customFormat="1" ht="11.45" customHeight="1">
      <c r="A95" s="330"/>
      <c r="B95" s="46"/>
      <c r="C95" s="46"/>
      <c r="L95" s="43"/>
      <c r="M95" s="46"/>
      <c r="N95" s="46"/>
      <c r="O95" s="43"/>
      <c r="P95" s="43"/>
      <c r="Q95" s="43"/>
      <c r="R95" s="43"/>
      <c r="S95" s="46"/>
      <c r="T95" s="43"/>
      <c r="U95" s="43"/>
      <c r="V95" s="77"/>
      <c r="W95" s="43"/>
      <c r="X95" s="43"/>
      <c r="Y95" s="43"/>
      <c r="Z95" s="43"/>
      <c r="AA95" s="43"/>
      <c r="AB95" s="7"/>
      <c r="AC95" s="88"/>
      <c r="AD95" s="88"/>
      <c r="AE95" s="88"/>
      <c r="AF95" s="88"/>
      <c r="AG95" s="117">
        <v>11</v>
      </c>
    </row>
    <row r="96" spans="1:33" s="117" customFormat="1" ht="11.45" customHeight="1">
      <c r="A96" s="330"/>
      <c r="B96" s="46"/>
      <c r="C96" s="46"/>
      <c r="L96" s="43"/>
      <c r="M96" s="46"/>
      <c r="N96" s="46"/>
      <c r="O96" s="43"/>
      <c r="P96" s="43"/>
      <c r="Q96" s="43"/>
      <c r="R96" s="43"/>
      <c r="S96" s="46"/>
      <c r="T96" s="43"/>
      <c r="U96" s="43"/>
      <c r="V96" s="77"/>
      <c r="W96" s="43"/>
      <c r="X96" s="43"/>
      <c r="Y96" s="43"/>
      <c r="Z96" s="43"/>
      <c r="AA96" s="43"/>
      <c r="AB96" s="7"/>
      <c r="AC96" s="88"/>
      <c r="AD96" s="88"/>
      <c r="AE96" s="88"/>
      <c r="AF96" s="88"/>
      <c r="AG96" s="117">
        <v>11</v>
      </c>
    </row>
    <row r="97" spans="1:33" s="117" customFormat="1" ht="11.45" customHeight="1">
      <c r="A97" s="330"/>
      <c r="B97" s="46"/>
      <c r="C97" s="46"/>
      <c r="L97" s="43"/>
      <c r="M97" s="46"/>
      <c r="N97" s="46"/>
      <c r="O97" s="43"/>
      <c r="P97" s="43"/>
      <c r="Q97" s="43"/>
      <c r="R97" s="43"/>
      <c r="S97" s="46"/>
      <c r="T97" s="43"/>
      <c r="U97" s="43"/>
      <c r="V97" s="77"/>
      <c r="W97" s="43"/>
      <c r="X97" s="43"/>
      <c r="Y97" s="43"/>
      <c r="Z97" s="43"/>
      <c r="AA97" s="43"/>
      <c r="AB97" s="7"/>
      <c r="AC97" s="88"/>
      <c r="AD97" s="88"/>
      <c r="AE97" s="88"/>
      <c r="AF97" s="88"/>
      <c r="AG97" s="117">
        <v>11</v>
      </c>
    </row>
    <row r="98" spans="1:33" s="117" customFormat="1" ht="11.45" customHeight="1">
      <c r="A98" s="330"/>
      <c r="B98" s="46"/>
      <c r="C98" s="46"/>
      <c r="L98" s="43"/>
      <c r="M98" s="46"/>
      <c r="N98" s="46"/>
      <c r="O98" s="43"/>
      <c r="P98" s="43"/>
      <c r="Q98" s="43"/>
      <c r="R98" s="43"/>
      <c r="S98" s="46"/>
      <c r="T98" s="43"/>
      <c r="U98" s="43"/>
      <c r="V98" s="77"/>
      <c r="W98" s="43"/>
      <c r="X98" s="43"/>
      <c r="Y98" s="43"/>
      <c r="Z98" s="43"/>
      <c r="AA98" s="43"/>
      <c r="AB98" s="7"/>
      <c r="AC98" s="88"/>
      <c r="AD98" s="88"/>
      <c r="AE98" s="88"/>
      <c r="AF98" s="88"/>
      <c r="AG98" s="117">
        <v>11</v>
      </c>
    </row>
    <row r="99" spans="1:33" s="117" customFormat="1" ht="11.45" customHeight="1">
      <c r="A99" s="330"/>
      <c r="B99" s="46"/>
      <c r="C99" s="46"/>
      <c r="L99" s="43"/>
      <c r="M99" s="46"/>
      <c r="N99" s="46"/>
      <c r="O99" s="43"/>
      <c r="P99" s="43"/>
      <c r="Q99" s="43"/>
      <c r="R99" s="43"/>
      <c r="S99" s="46"/>
      <c r="T99" s="43"/>
      <c r="U99" s="43"/>
      <c r="V99" s="77"/>
      <c r="W99" s="43"/>
      <c r="X99" s="43"/>
      <c r="Y99" s="43"/>
      <c r="Z99" s="43"/>
      <c r="AA99" s="43"/>
      <c r="AB99" s="7"/>
      <c r="AC99" s="88"/>
      <c r="AD99" s="88"/>
      <c r="AE99" s="88"/>
      <c r="AF99" s="88"/>
      <c r="AG99" s="117">
        <v>11</v>
      </c>
    </row>
    <row r="100" spans="1:33" s="117" customFormat="1" ht="11.45" customHeight="1">
      <c r="A100" s="330"/>
      <c r="B100" s="46"/>
      <c r="C100" s="46"/>
      <c r="L100" s="43"/>
      <c r="M100" s="46"/>
      <c r="N100" s="46"/>
      <c r="O100" s="43"/>
      <c r="P100" s="43"/>
      <c r="Q100" s="43"/>
      <c r="R100" s="43"/>
      <c r="S100" s="46"/>
      <c r="T100" s="43"/>
      <c r="U100" s="43"/>
      <c r="V100" s="77"/>
      <c r="W100" s="43"/>
      <c r="X100" s="43"/>
      <c r="Y100" s="43"/>
      <c r="Z100" s="43"/>
      <c r="AA100" s="43"/>
      <c r="AB100" s="7"/>
      <c r="AC100" s="88"/>
      <c r="AD100" s="88"/>
      <c r="AE100" s="88"/>
      <c r="AF100" s="88"/>
      <c r="AG100" s="117">
        <v>11</v>
      </c>
    </row>
    <row r="101" spans="1:33" s="117" customFormat="1" ht="11.45" customHeight="1">
      <c r="A101" s="330"/>
      <c r="B101" s="46"/>
      <c r="C101" s="46"/>
      <c r="L101" s="43"/>
      <c r="M101" s="46"/>
      <c r="N101" s="46"/>
      <c r="O101" s="43"/>
      <c r="P101" s="43"/>
      <c r="Q101" s="43"/>
      <c r="R101" s="43"/>
      <c r="S101" s="46"/>
      <c r="T101" s="43"/>
      <c r="U101" s="43"/>
      <c r="V101" s="77"/>
      <c r="W101" s="43"/>
      <c r="X101" s="43"/>
      <c r="Y101" s="43"/>
      <c r="Z101" s="43"/>
      <c r="AA101" s="43"/>
      <c r="AB101" s="7"/>
      <c r="AC101" s="88"/>
      <c r="AD101" s="88"/>
      <c r="AE101" s="88"/>
      <c r="AF101" s="88"/>
      <c r="AG101" s="117">
        <v>11</v>
      </c>
    </row>
    <row r="102" spans="1:33" s="117" customFormat="1" ht="11.45" customHeight="1">
      <c r="A102" s="330"/>
      <c r="B102" s="46"/>
      <c r="C102" s="46"/>
      <c r="L102" s="43"/>
      <c r="M102" s="46"/>
      <c r="N102" s="46"/>
      <c r="O102" s="43"/>
      <c r="P102" s="43"/>
      <c r="Q102" s="43"/>
      <c r="R102" s="43"/>
      <c r="S102" s="46"/>
      <c r="T102" s="43"/>
      <c r="U102" s="43"/>
      <c r="V102" s="77"/>
      <c r="W102" s="43"/>
      <c r="X102" s="43"/>
      <c r="Y102" s="43"/>
      <c r="Z102" s="43"/>
      <c r="AA102" s="43"/>
      <c r="AB102" s="7"/>
      <c r="AC102" s="88"/>
      <c r="AD102" s="88"/>
      <c r="AE102" s="88"/>
      <c r="AF102" s="88"/>
      <c r="AG102" s="117">
        <v>11</v>
      </c>
    </row>
    <row r="103" spans="1:33" s="117" customFormat="1" ht="11.45" customHeight="1">
      <c r="A103" s="330"/>
      <c r="B103" s="46"/>
      <c r="C103" s="46"/>
      <c r="L103" s="43"/>
      <c r="M103" s="46"/>
      <c r="N103" s="46"/>
      <c r="O103" s="43"/>
      <c r="P103" s="43"/>
      <c r="Q103" s="43"/>
      <c r="R103" s="43"/>
      <c r="S103" s="46"/>
      <c r="T103" s="43"/>
      <c r="U103" s="43"/>
      <c r="V103" s="77"/>
      <c r="W103" s="43"/>
      <c r="X103" s="43"/>
      <c r="Y103" s="43"/>
      <c r="Z103" s="43"/>
      <c r="AA103" s="43"/>
      <c r="AB103" s="7"/>
      <c r="AC103" s="88"/>
      <c r="AD103" s="88"/>
      <c r="AE103" s="88"/>
      <c r="AF103" s="88"/>
      <c r="AG103" s="117">
        <v>11</v>
      </c>
    </row>
    <row r="104" spans="1:33" s="117" customFormat="1" ht="11.45" customHeight="1">
      <c r="A104" s="330"/>
      <c r="B104" s="46"/>
      <c r="C104" s="46"/>
      <c r="L104" s="43"/>
      <c r="M104" s="46"/>
      <c r="N104" s="46"/>
      <c r="O104" s="43"/>
      <c r="P104" s="43"/>
      <c r="Q104" s="43"/>
      <c r="R104" s="43"/>
      <c r="S104" s="46"/>
      <c r="T104" s="43"/>
      <c r="U104" s="43"/>
      <c r="V104" s="77"/>
      <c r="W104" s="43"/>
      <c r="X104" s="43"/>
      <c r="Y104" s="43"/>
      <c r="Z104" s="43"/>
      <c r="AA104" s="43"/>
      <c r="AB104" s="7"/>
      <c r="AC104" s="88"/>
      <c r="AD104" s="88"/>
      <c r="AE104" s="88"/>
      <c r="AF104" s="88"/>
      <c r="AG104" s="117">
        <v>11</v>
      </c>
    </row>
    <row r="105" spans="1:33" s="117" customFormat="1" ht="11.45" customHeight="1">
      <c r="A105" s="330"/>
      <c r="B105" s="46"/>
      <c r="C105" s="46"/>
      <c r="L105" s="43"/>
      <c r="M105" s="46"/>
      <c r="N105" s="46"/>
      <c r="O105" s="43"/>
      <c r="P105" s="43"/>
      <c r="Q105" s="43"/>
      <c r="R105" s="43"/>
      <c r="S105" s="46"/>
      <c r="T105" s="43"/>
      <c r="U105" s="43"/>
      <c r="V105" s="77"/>
      <c r="W105" s="43"/>
      <c r="X105" s="43"/>
      <c r="Y105" s="43"/>
      <c r="Z105" s="43"/>
      <c r="AA105" s="43"/>
      <c r="AB105" s="7"/>
      <c r="AC105" s="88"/>
      <c r="AD105" s="88"/>
      <c r="AE105" s="88"/>
      <c r="AF105" s="88"/>
      <c r="AG105" s="117">
        <v>11</v>
      </c>
    </row>
    <row r="106" spans="1:33" s="117" customFormat="1" ht="11.45" customHeight="1">
      <c r="A106" s="330"/>
      <c r="B106" s="46"/>
      <c r="C106" s="46"/>
      <c r="L106" s="43"/>
      <c r="M106" s="46"/>
      <c r="N106" s="46"/>
      <c r="O106" s="43"/>
      <c r="P106" s="43"/>
      <c r="Q106" s="43"/>
      <c r="R106" s="43"/>
      <c r="S106" s="46"/>
      <c r="T106" s="43"/>
      <c r="U106" s="43"/>
      <c r="V106" s="77"/>
      <c r="W106" s="43"/>
      <c r="X106" s="43"/>
      <c r="Y106" s="43"/>
      <c r="Z106" s="43"/>
      <c r="AA106" s="43"/>
      <c r="AB106" s="7"/>
      <c r="AC106" s="88"/>
      <c r="AD106" s="88"/>
      <c r="AE106" s="88"/>
      <c r="AF106" s="88"/>
      <c r="AG106" s="117">
        <v>11</v>
      </c>
    </row>
    <row r="107" spans="1:33" s="117" customFormat="1" ht="11.45" customHeight="1">
      <c r="A107" s="330"/>
      <c r="B107" s="46"/>
      <c r="C107" s="46"/>
      <c r="L107" s="43"/>
      <c r="M107" s="46"/>
      <c r="N107" s="46"/>
      <c r="O107" s="43"/>
      <c r="P107" s="43"/>
      <c r="Q107" s="43"/>
      <c r="R107" s="43"/>
      <c r="S107" s="46"/>
      <c r="T107" s="43"/>
      <c r="U107" s="43"/>
      <c r="V107" s="77"/>
      <c r="W107" s="43"/>
      <c r="X107" s="43"/>
      <c r="Y107" s="43"/>
      <c r="Z107" s="43"/>
      <c r="AA107" s="43"/>
      <c r="AB107" s="7"/>
      <c r="AC107" s="88"/>
      <c r="AD107" s="88"/>
      <c r="AE107" s="88"/>
      <c r="AF107" s="88"/>
      <c r="AG107" s="117">
        <v>11</v>
      </c>
    </row>
    <row r="108" spans="1:33" s="117" customFormat="1" ht="11.45" customHeight="1">
      <c r="A108" s="330"/>
      <c r="B108" s="46"/>
      <c r="C108" s="46"/>
      <c r="L108" s="43"/>
      <c r="M108" s="46"/>
      <c r="N108" s="46"/>
      <c r="O108" s="43"/>
      <c r="P108" s="43"/>
      <c r="Q108" s="43"/>
      <c r="R108" s="43"/>
      <c r="S108" s="46"/>
      <c r="T108" s="43"/>
      <c r="U108" s="43"/>
      <c r="V108" s="77"/>
      <c r="W108" s="43"/>
      <c r="X108" s="43"/>
      <c r="Y108" s="43"/>
      <c r="Z108" s="43"/>
      <c r="AA108" s="43"/>
      <c r="AB108" s="7"/>
      <c r="AC108" s="88"/>
      <c r="AD108" s="88"/>
      <c r="AE108" s="88"/>
      <c r="AF108" s="88"/>
      <c r="AG108" s="117">
        <v>11</v>
      </c>
    </row>
    <row r="109" spans="1:33" s="117" customFormat="1" ht="11.45" customHeight="1">
      <c r="A109" s="330"/>
      <c r="B109" s="46"/>
      <c r="C109" s="46"/>
      <c r="L109" s="43"/>
      <c r="M109" s="46"/>
      <c r="N109" s="46"/>
      <c r="O109" s="43"/>
      <c r="P109" s="43"/>
      <c r="Q109" s="43"/>
      <c r="R109" s="43"/>
      <c r="S109" s="46"/>
      <c r="T109" s="43"/>
      <c r="U109" s="43"/>
      <c r="V109" s="77"/>
      <c r="W109" s="43"/>
      <c r="X109" s="43"/>
      <c r="Y109" s="43"/>
      <c r="Z109" s="43"/>
      <c r="AA109" s="43"/>
      <c r="AB109" s="7"/>
      <c r="AC109" s="88"/>
      <c r="AD109" s="88"/>
      <c r="AE109" s="88"/>
      <c r="AF109" s="88"/>
      <c r="AG109" s="117">
        <v>11</v>
      </c>
    </row>
    <row r="110" spans="1:33" s="117" customFormat="1" ht="11.45" customHeight="1">
      <c r="A110" s="330"/>
      <c r="B110" s="46"/>
      <c r="C110" s="46"/>
      <c r="L110" s="43"/>
      <c r="M110" s="46"/>
      <c r="N110" s="46"/>
      <c r="O110" s="43"/>
      <c r="P110" s="43"/>
      <c r="Q110" s="43"/>
      <c r="R110" s="43"/>
      <c r="S110" s="46"/>
      <c r="T110" s="43"/>
      <c r="U110" s="43"/>
      <c r="V110" s="77"/>
      <c r="W110" s="43"/>
      <c r="X110" s="43"/>
      <c r="Y110" s="43"/>
      <c r="Z110" s="43"/>
      <c r="AA110" s="43"/>
      <c r="AB110" s="7"/>
      <c r="AC110" s="88"/>
      <c r="AD110" s="88"/>
      <c r="AE110" s="88"/>
      <c r="AF110" s="88"/>
      <c r="AG110" s="117">
        <v>11</v>
      </c>
    </row>
    <row r="111" spans="1:33" s="117" customFormat="1" ht="11.45" customHeight="1">
      <c r="A111" s="330"/>
      <c r="B111" s="46"/>
      <c r="C111" s="46"/>
      <c r="L111" s="43"/>
      <c r="M111" s="46"/>
      <c r="N111" s="46"/>
      <c r="O111" s="43"/>
      <c r="P111" s="43"/>
      <c r="Q111" s="43"/>
      <c r="R111" s="43"/>
      <c r="S111" s="46"/>
      <c r="T111" s="43"/>
      <c r="U111" s="43"/>
      <c r="V111" s="77"/>
      <c r="W111" s="43"/>
      <c r="X111" s="43"/>
      <c r="Y111" s="43"/>
      <c r="Z111" s="43"/>
      <c r="AA111" s="43"/>
      <c r="AB111" s="7"/>
      <c r="AC111" s="88"/>
      <c r="AD111" s="88"/>
      <c r="AE111" s="88"/>
      <c r="AF111" s="88"/>
      <c r="AG111" s="117">
        <v>11</v>
      </c>
    </row>
    <row r="112" spans="1:33" s="117" customFormat="1" ht="11.45" customHeight="1">
      <c r="A112" s="330"/>
      <c r="B112" s="46"/>
      <c r="C112" s="46"/>
      <c r="L112" s="43"/>
      <c r="M112" s="46"/>
      <c r="N112" s="46"/>
      <c r="O112" s="43"/>
      <c r="P112" s="43"/>
      <c r="Q112" s="43"/>
      <c r="R112" s="43"/>
      <c r="S112" s="46"/>
      <c r="T112" s="43"/>
      <c r="U112" s="43"/>
      <c r="V112" s="77"/>
      <c r="W112" s="43"/>
      <c r="X112" s="43"/>
      <c r="Y112" s="43"/>
      <c r="Z112" s="43"/>
      <c r="AA112" s="43"/>
      <c r="AB112" s="7"/>
      <c r="AC112" s="88"/>
      <c r="AD112" s="88"/>
      <c r="AE112" s="88"/>
      <c r="AF112" s="88"/>
      <c r="AG112" s="117">
        <v>11</v>
      </c>
    </row>
    <row r="113" spans="1:33" s="117" customFormat="1" ht="11.45" customHeight="1">
      <c r="A113" s="330"/>
      <c r="B113" s="46"/>
      <c r="C113" s="46"/>
      <c r="L113" s="43"/>
      <c r="M113" s="46"/>
      <c r="N113" s="46"/>
      <c r="O113" s="43"/>
      <c r="P113" s="43"/>
      <c r="Q113" s="43"/>
      <c r="R113" s="43"/>
      <c r="S113" s="46"/>
      <c r="T113" s="43"/>
      <c r="U113" s="43"/>
      <c r="V113" s="77"/>
      <c r="W113" s="43"/>
      <c r="X113" s="43"/>
      <c r="Y113" s="43"/>
      <c r="Z113" s="43"/>
      <c r="AA113" s="43"/>
      <c r="AB113" s="7"/>
      <c r="AC113" s="88"/>
      <c r="AD113" s="88"/>
      <c r="AE113" s="88"/>
      <c r="AF113" s="88"/>
      <c r="AG113" s="117">
        <v>11</v>
      </c>
    </row>
    <row r="114" spans="1:33" s="117" customFormat="1" ht="11.45" customHeight="1">
      <c r="A114" s="330"/>
      <c r="B114" s="46"/>
      <c r="C114" s="46"/>
      <c r="L114" s="43"/>
      <c r="M114" s="46"/>
      <c r="N114" s="46"/>
      <c r="O114" s="43"/>
      <c r="P114" s="43"/>
      <c r="Q114" s="43"/>
      <c r="R114" s="43"/>
      <c r="S114" s="46"/>
      <c r="T114" s="43"/>
      <c r="U114" s="43"/>
      <c r="V114" s="77"/>
      <c r="W114" s="43"/>
      <c r="X114" s="43"/>
      <c r="Y114" s="43"/>
      <c r="Z114" s="43"/>
      <c r="AA114" s="43"/>
      <c r="AB114" s="7"/>
      <c r="AC114" s="88"/>
      <c r="AD114" s="88"/>
      <c r="AE114" s="88"/>
      <c r="AF114" s="88"/>
      <c r="AG114" s="117">
        <v>11</v>
      </c>
    </row>
    <row r="115" spans="1:33" s="117" customFormat="1" ht="11.45" customHeight="1">
      <c r="A115" s="330"/>
      <c r="B115" s="46"/>
      <c r="C115" s="46"/>
      <c r="L115" s="43"/>
      <c r="M115" s="46"/>
      <c r="N115" s="46"/>
      <c r="O115" s="43"/>
      <c r="P115" s="43"/>
      <c r="Q115" s="43"/>
      <c r="R115" s="43"/>
      <c r="S115" s="46"/>
      <c r="T115" s="43"/>
      <c r="U115" s="43"/>
      <c r="V115" s="77"/>
      <c r="W115" s="43"/>
      <c r="X115" s="43"/>
      <c r="Y115" s="43"/>
      <c r="Z115" s="43"/>
      <c r="AA115" s="43"/>
      <c r="AB115" s="7"/>
      <c r="AC115" s="88"/>
      <c r="AD115" s="88"/>
      <c r="AE115" s="88"/>
      <c r="AF115" s="88"/>
      <c r="AG115" s="117">
        <v>11</v>
      </c>
    </row>
    <row r="116" spans="1:33" s="117" customFormat="1" ht="11.45" customHeight="1">
      <c r="A116" s="330"/>
      <c r="B116" s="46"/>
      <c r="C116" s="46"/>
      <c r="L116" s="43"/>
      <c r="M116" s="46"/>
      <c r="N116" s="46"/>
      <c r="O116" s="43"/>
      <c r="P116" s="43"/>
      <c r="Q116" s="43"/>
      <c r="R116" s="43"/>
      <c r="S116" s="46"/>
      <c r="T116" s="43"/>
      <c r="U116" s="43"/>
      <c r="V116" s="77"/>
      <c r="W116" s="43"/>
      <c r="X116" s="43"/>
      <c r="Y116" s="43"/>
      <c r="Z116" s="43"/>
      <c r="AA116" s="43"/>
      <c r="AB116" s="7"/>
      <c r="AC116" s="88"/>
      <c r="AD116" s="88"/>
      <c r="AE116" s="88"/>
      <c r="AF116" s="88"/>
      <c r="AG116" s="117">
        <v>11</v>
      </c>
    </row>
    <row r="117" spans="1:33" s="117" customFormat="1" ht="11.45" customHeight="1">
      <c r="A117" s="330"/>
      <c r="B117" s="46"/>
      <c r="C117" s="46"/>
      <c r="L117" s="43"/>
      <c r="M117" s="46"/>
      <c r="N117" s="46"/>
      <c r="O117" s="43"/>
      <c r="P117" s="43"/>
      <c r="Q117" s="43"/>
      <c r="R117" s="43"/>
      <c r="S117" s="46"/>
      <c r="T117" s="43"/>
      <c r="U117" s="43"/>
      <c r="V117" s="77"/>
      <c r="W117" s="43"/>
      <c r="X117" s="43"/>
      <c r="Y117" s="43"/>
      <c r="Z117" s="43"/>
      <c r="AA117" s="43"/>
      <c r="AB117" s="7"/>
      <c r="AC117" s="88"/>
      <c r="AD117" s="88"/>
      <c r="AE117" s="88"/>
      <c r="AF117" s="88"/>
      <c r="AG117" s="117">
        <v>11</v>
      </c>
    </row>
    <row r="118" spans="1:33" s="117" customFormat="1" ht="11.45" customHeight="1">
      <c r="A118" s="330"/>
      <c r="B118" s="46"/>
      <c r="C118" s="46"/>
      <c r="L118" s="43"/>
      <c r="M118" s="46"/>
      <c r="N118" s="46"/>
      <c r="O118" s="43"/>
      <c r="P118" s="43"/>
      <c r="Q118" s="43"/>
      <c r="R118" s="43"/>
      <c r="S118" s="46"/>
      <c r="T118" s="43"/>
      <c r="U118" s="43"/>
      <c r="V118" s="77"/>
      <c r="W118" s="43"/>
      <c r="X118" s="43"/>
      <c r="Y118" s="43"/>
      <c r="Z118" s="43"/>
      <c r="AA118" s="43"/>
      <c r="AB118" s="7"/>
      <c r="AC118" s="88"/>
      <c r="AD118" s="88"/>
      <c r="AE118" s="88"/>
      <c r="AF118" s="88"/>
      <c r="AG118" s="117">
        <v>11</v>
      </c>
    </row>
    <row r="119" spans="1:33" s="117" customFormat="1" ht="11.45" customHeight="1">
      <c r="A119" s="330"/>
      <c r="B119" s="46"/>
      <c r="C119" s="46"/>
      <c r="L119" s="43"/>
      <c r="M119" s="46"/>
      <c r="N119" s="46"/>
      <c r="O119" s="43"/>
      <c r="P119" s="43"/>
      <c r="Q119" s="43"/>
      <c r="R119" s="43"/>
      <c r="S119" s="46"/>
      <c r="T119" s="43"/>
      <c r="U119" s="43"/>
      <c r="V119" s="77"/>
      <c r="W119" s="43"/>
      <c r="X119" s="43"/>
      <c r="Y119" s="43"/>
      <c r="Z119" s="43"/>
      <c r="AA119" s="43"/>
      <c r="AB119" s="7"/>
      <c r="AC119" s="88"/>
      <c r="AD119" s="88"/>
      <c r="AE119" s="88"/>
      <c r="AF119" s="88"/>
      <c r="AG119" s="117">
        <v>11</v>
      </c>
    </row>
    <row r="120" spans="1:33" s="117" customFormat="1" ht="11.45" customHeight="1">
      <c r="A120" s="330"/>
      <c r="B120" s="46"/>
      <c r="C120" s="46"/>
      <c r="L120" s="43"/>
      <c r="M120" s="46"/>
      <c r="N120" s="46"/>
      <c r="O120" s="43"/>
      <c r="P120" s="43"/>
      <c r="Q120" s="43"/>
      <c r="R120" s="43"/>
      <c r="S120" s="46"/>
      <c r="T120" s="43"/>
      <c r="U120" s="43"/>
      <c r="V120" s="77"/>
      <c r="W120" s="43"/>
      <c r="X120" s="43"/>
      <c r="Y120" s="43"/>
      <c r="Z120" s="43"/>
      <c r="AA120" s="43"/>
      <c r="AB120" s="7"/>
      <c r="AC120" s="88"/>
      <c r="AD120" s="88"/>
      <c r="AE120" s="88"/>
      <c r="AF120" s="88"/>
      <c r="AG120" s="117">
        <v>11</v>
      </c>
    </row>
    <row r="121" spans="1:33" s="117" customFormat="1" ht="11.45" customHeight="1">
      <c r="A121" s="330"/>
      <c r="B121" s="46"/>
      <c r="C121" s="46"/>
      <c r="L121" s="43"/>
      <c r="M121" s="46"/>
      <c r="N121" s="46"/>
      <c r="O121" s="43"/>
      <c r="P121" s="43"/>
      <c r="Q121" s="43"/>
      <c r="R121" s="43"/>
      <c r="S121" s="46"/>
      <c r="T121" s="43"/>
      <c r="U121" s="43"/>
      <c r="V121" s="77"/>
      <c r="W121" s="43"/>
      <c r="X121" s="43"/>
      <c r="Y121" s="43"/>
      <c r="Z121" s="43"/>
      <c r="AA121" s="43"/>
      <c r="AB121" s="7"/>
      <c r="AC121" s="88"/>
      <c r="AD121" s="88"/>
      <c r="AE121" s="88"/>
      <c r="AF121" s="88"/>
      <c r="AG121" s="117">
        <v>11</v>
      </c>
    </row>
    <row r="122" spans="1:33" s="117" customFormat="1" ht="11.45" customHeight="1">
      <c r="A122" s="330"/>
      <c r="B122" s="46"/>
      <c r="C122" s="46"/>
      <c r="L122" s="43"/>
      <c r="M122" s="46"/>
      <c r="N122" s="46"/>
      <c r="O122" s="43"/>
      <c r="P122" s="43"/>
      <c r="Q122" s="43"/>
      <c r="R122" s="43"/>
      <c r="S122" s="46"/>
      <c r="T122" s="43"/>
      <c r="U122" s="43"/>
      <c r="V122" s="77"/>
      <c r="W122" s="43"/>
      <c r="X122" s="43"/>
      <c r="Y122" s="43"/>
      <c r="Z122" s="43"/>
      <c r="AA122" s="43"/>
      <c r="AB122" s="7"/>
      <c r="AC122" s="88"/>
      <c r="AD122" s="88"/>
      <c r="AE122" s="88"/>
      <c r="AF122" s="88"/>
      <c r="AG122" s="117">
        <v>11</v>
      </c>
    </row>
    <row r="123" spans="1:33" s="117" customFormat="1" ht="11.45" customHeight="1">
      <c r="A123" s="330"/>
      <c r="B123" s="46"/>
      <c r="C123" s="46"/>
      <c r="L123" s="43"/>
      <c r="M123" s="46"/>
      <c r="N123" s="46"/>
      <c r="O123" s="43"/>
      <c r="P123" s="43"/>
      <c r="Q123" s="43"/>
      <c r="R123" s="43"/>
      <c r="S123" s="46"/>
      <c r="T123" s="43"/>
      <c r="U123" s="43"/>
      <c r="V123" s="77"/>
      <c r="W123" s="43"/>
      <c r="X123" s="43"/>
      <c r="Y123" s="43"/>
      <c r="Z123" s="43"/>
      <c r="AA123" s="43"/>
      <c r="AB123" s="7"/>
      <c r="AC123" s="88"/>
      <c r="AD123" s="88"/>
      <c r="AE123" s="88"/>
      <c r="AF123" s="88"/>
      <c r="AG123" s="117">
        <v>11</v>
      </c>
    </row>
    <row r="124" spans="1:33" s="117" customFormat="1" ht="11.45" customHeight="1">
      <c r="A124" s="330"/>
      <c r="B124" s="46"/>
      <c r="C124" s="46"/>
      <c r="L124" s="43"/>
      <c r="M124" s="46"/>
      <c r="N124" s="46"/>
      <c r="O124" s="43"/>
      <c r="P124" s="43"/>
      <c r="Q124" s="43"/>
      <c r="R124" s="43"/>
      <c r="S124" s="46"/>
      <c r="T124" s="43"/>
      <c r="U124" s="43"/>
      <c r="V124" s="77"/>
      <c r="W124" s="43"/>
      <c r="X124" s="43"/>
      <c r="Y124" s="43"/>
      <c r="Z124" s="43"/>
      <c r="AA124" s="43"/>
      <c r="AB124" s="7"/>
      <c r="AC124" s="88"/>
      <c r="AD124" s="88"/>
      <c r="AE124" s="88"/>
      <c r="AF124" s="88"/>
      <c r="AG124" s="117">
        <v>11</v>
      </c>
    </row>
    <row r="125" spans="1:33" s="117" customFormat="1" ht="11.45" customHeight="1">
      <c r="A125" s="330"/>
      <c r="B125" s="46"/>
      <c r="C125" s="46"/>
      <c r="L125" s="43"/>
      <c r="M125" s="46"/>
      <c r="N125" s="46"/>
      <c r="O125" s="43"/>
      <c r="P125" s="43"/>
      <c r="Q125" s="43"/>
      <c r="R125" s="43"/>
      <c r="S125" s="46"/>
      <c r="T125" s="43"/>
      <c r="U125" s="43"/>
      <c r="V125" s="77"/>
      <c r="W125" s="43"/>
      <c r="X125" s="43"/>
      <c r="Y125" s="43"/>
      <c r="Z125" s="43"/>
      <c r="AA125" s="43"/>
      <c r="AB125" s="7"/>
      <c r="AC125" s="88"/>
      <c r="AD125" s="88"/>
      <c r="AE125" s="88"/>
      <c r="AF125" s="88"/>
      <c r="AG125" s="117">
        <v>11</v>
      </c>
    </row>
    <row r="126" spans="1:33" s="117" customFormat="1" ht="11.45" customHeight="1">
      <c r="A126" s="330"/>
      <c r="B126" s="46"/>
      <c r="C126" s="46"/>
      <c r="L126" s="43"/>
      <c r="M126" s="46"/>
      <c r="N126" s="46"/>
      <c r="O126" s="43"/>
      <c r="P126" s="43"/>
      <c r="Q126" s="43"/>
      <c r="R126" s="43"/>
      <c r="S126" s="46"/>
      <c r="T126" s="43"/>
      <c r="U126" s="43"/>
      <c r="V126" s="77"/>
      <c r="W126" s="43"/>
      <c r="X126" s="43"/>
      <c r="Y126" s="43"/>
      <c r="Z126" s="43"/>
      <c r="AA126" s="43"/>
      <c r="AB126" s="7"/>
      <c r="AC126" s="88"/>
      <c r="AD126" s="88"/>
      <c r="AE126" s="88"/>
      <c r="AF126" s="88"/>
      <c r="AG126" s="117">
        <v>11</v>
      </c>
    </row>
    <row r="127" spans="1:33" s="117" customFormat="1" ht="11.45" customHeight="1">
      <c r="A127" s="330"/>
      <c r="B127" s="46"/>
      <c r="C127" s="46"/>
      <c r="L127" s="43"/>
      <c r="M127" s="46"/>
      <c r="N127" s="46"/>
      <c r="O127" s="43"/>
      <c r="P127" s="43"/>
      <c r="Q127" s="43"/>
      <c r="R127" s="43"/>
      <c r="S127" s="46"/>
      <c r="T127" s="43"/>
      <c r="U127" s="43"/>
      <c r="V127" s="77"/>
      <c r="W127" s="43"/>
      <c r="X127" s="43"/>
      <c r="Y127" s="43"/>
      <c r="Z127" s="43"/>
      <c r="AA127" s="43"/>
      <c r="AB127" s="7"/>
      <c r="AC127" s="88"/>
      <c r="AD127" s="88"/>
      <c r="AE127" s="88"/>
      <c r="AF127" s="88"/>
      <c r="AG127" s="117">
        <v>11</v>
      </c>
    </row>
    <row r="128" spans="1:33" s="117" customFormat="1" ht="11.45" customHeight="1">
      <c r="A128" s="330"/>
      <c r="B128" s="46"/>
      <c r="C128" s="46"/>
      <c r="L128" s="43"/>
      <c r="M128" s="46"/>
      <c r="N128" s="46"/>
      <c r="O128" s="43"/>
      <c r="P128" s="43"/>
      <c r="Q128" s="43"/>
      <c r="R128" s="43"/>
      <c r="S128" s="46"/>
      <c r="T128" s="43"/>
      <c r="U128" s="43"/>
      <c r="V128" s="77"/>
      <c r="W128" s="43"/>
      <c r="X128" s="43"/>
      <c r="Y128" s="43"/>
      <c r="Z128" s="43"/>
      <c r="AA128" s="43"/>
      <c r="AB128" s="7"/>
      <c r="AC128" s="88"/>
      <c r="AD128" s="88"/>
      <c r="AE128" s="88"/>
      <c r="AF128" s="88"/>
      <c r="AG128" s="117">
        <v>11</v>
      </c>
    </row>
    <row r="129" spans="1:33" s="117" customFormat="1" ht="11.45" customHeight="1">
      <c r="A129" s="330"/>
      <c r="B129" s="46"/>
      <c r="C129" s="46"/>
      <c r="L129" s="43"/>
      <c r="M129" s="46"/>
      <c r="N129" s="46"/>
      <c r="O129" s="43"/>
      <c r="P129" s="43"/>
      <c r="Q129" s="43"/>
      <c r="R129" s="43"/>
      <c r="S129" s="46"/>
      <c r="T129" s="43"/>
      <c r="U129" s="43"/>
      <c r="V129" s="77"/>
      <c r="W129" s="43"/>
      <c r="X129" s="43"/>
      <c r="Y129" s="43"/>
      <c r="Z129" s="43"/>
      <c r="AA129" s="43"/>
      <c r="AB129" s="7"/>
      <c r="AC129" s="88"/>
      <c r="AD129" s="88"/>
      <c r="AE129" s="88"/>
      <c r="AF129" s="88"/>
      <c r="AG129" s="117">
        <v>11</v>
      </c>
    </row>
    <row r="130" spans="1:33" s="117" customFormat="1" ht="11.45" customHeight="1">
      <c r="A130" s="330"/>
      <c r="B130" s="46"/>
      <c r="C130" s="46"/>
      <c r="L130" s="43"/>
      <c r="M130" s="46"/>
      <c r="N130" s="46"/>
      <c r="O130" s="43"/>
      <c r="P130" s="43"/>
      <c r="Q130" s="43"/>
      <c r="R130" s="43"/>
      <c r="S130" s="46"/>
      <c r="T130" s="43"/>
      <c r="U130" s="43"/>
      <c r="V130" s="77"/>
      <c r="W130" s="43"/>
      <c r="X130" s="43"/>
      <c r="Y130" s="43"/>
      <c r="Z130" s="43"/>
      <c r="AA130" s="43"/>
      <c r="AB130" s="7"/>
      <c r="AC130" s="88"/>
      <c r="AD130" s="88"/>
      <c r="AE130" s="88"/>
      <c r="AF130" s="88"/>
      <c r="AG130" s="117">
        <v>11</v>
      </c>
    </row>
    <row r="131" spans="1:33" s="117" customFormat="1" ht="11.45" customHeight="1">
      <c r="A131" s="330"/>
      <c r="B131" s="46"/>
      <c r="C131" s="46"/>
      <c r="L131" s="43"/>
      <c r="M131" s="46"/>
      <c r="N131" s="46"/>
      <c r="O131" s="43"/>
      <c r="P131" s="43"/>
      <c r="Q131" s="43"/>
      <c r="R131" s="43"/>
      <c r="S131" s="46"/>
      <c r="T131" s="43"/>
      <c r="U131" s="43"/>
      <c r="V131" s="77"/>
      <c r="W131" s="43"/>
      <c r="X131" s="43"/>
      <c r="Y131" s="43"/>
      <c r="Z131" s="43"/>
      <c r="AA131" s="43"/>
      <c r="AB131" s="7"/>
      <c r="AC131" s="88"/>
      <c r="AD131" s="88"/>
      <c r="AE131" s="88"/>
      <c r="AF131" s="88"/>
      <c r="AG131" s="117">
        <v>11</v>
      </c>
    </row>
    <row r="132" spans="1:33" s="117" customFormat="1" ht="11.45" customHeight="1">
      <c r="A132" s="330"/>
      <c r="B132" s="46"/>
      <c r="C132" s="46"/>
      <c r="L132" s="43"/>
      <c r="M132" s="46"/>
      <c r="N132" s="46"/>
      <c r="O132" s="43"/>
      <c r="P132" s="43"/>
      <c r="Q132" s="43"/>
      <c r="R132" s="43"/>
      <c r="S132" s="46"/>
      <c r="T132" s="43"/>
      <c r="U132" s="43"/>
      <c r="V132" s="77"/>
      <c r="W132" s="43"/>
      <c r="X132" s="43"/>
      <c r="Y132" s="43"/>
      <c r="Z132" s="43"/>
      <c r="AA132" s="43"/>
      <c r="AB132" s="7"/>
      <c r="AC132" s="88"/>
      <c r="AD132" s="88"/>
      <c r="AE132" s="88"/>
      <c r="AF132" s="88"/>
      <c r="AG132" s="117">
        <v>11</v>
      </c>
    </row>
    <row r="133" spans="1:33" s="117" customFormat="1" ht="11.45" customHeight="1">
      <c r="A133" s="330"/>
      <c r="B133" s="46"/>
      <c r="C133" s="46"/>
      <c r="L133" s="43"/>
      <c r="M133" s="46"/>
      <c r="N133" s="46"/>
      <c r="O133" s="43"/>
      <c r="P133" s="43"/>
      <c r="Q133" s="43"/>
      <c r="R133" s="43"/>
      <c r="S133" s="46"/>
      <c r="T133" s="43"/>
      <c r="U133" s="43"/>
      <c r="V133" s="77"/>
      <c r="W133" s="43"/>
      <c r="X133" s="43"/>
      <c r="Y133" s="43"/>
      <c r="Z133" s="43"/>
      <c r="AA133" s="43"/>
      <c r="AB133" s="7"/>
      <c r="AC133" s="88"/>
      <c r="AD133" s="88"/>
      <c r="AE133" s="88"/>
      <c r="AF133" s="88"/>
      <c r="AG133" s="117">
        <v>11</v>
      </c>
    </row>
    <row r="134" spans="1:33" s="117" customFormat="1" ht="11.45" customHeight="1">
      <c r="A134" s="330"/>
      <c r="B134" s="46"/>
      <c r="C134" s="46"/>
      <c r="L134" s="43"/>
      <c r="M134" s="46"/>
      <c r="N134" s="46"/>
      <c r="O134" s="43"/>
      <c r="P134" s="43"/>
      <c r="Q134" s="43"/>
      <c r="R134" s="43"/>
      <c r="S134" s="46"/>
      <c r="T134" s="43"/>
      <c r="U134" s="43"/>
      <c r="V134" s="77"/>
      <c r="W134" s="43"/>
      <c r="X134" s="43"/>
      <c r="Y134" s="43"/>
      <c r="Z134" s="43"/>
      <c r="AA134" s="43"/>
      <c r="AB134" s="7"/>
      <c r="AC134" s="88"/>
      <c r="AD134" s="88"/>
      <c r="AE134" s="88"/>
      <c r="AF134" s="88"/>
      <c r="AG134" s="117">
        <v>11</v>
      </c>
    </row>
    <row r="135" spans="1:33" s="117" customFormat="1" ht="11.45" customHeight="1">
      <c r="A135" s="330"/>
      <c r="B135" s="46"/>
      <c r="C135" s="46"/>
      <c r="L135" s="43"/>
      <c r="M135" s="46"/>
      <c r="N135" s="46"/>
      <c r="O135" s="43"/>
      <c r="P135" s="43"/>
      <c r="Q135" s="43"/>
      <c r="R135" s="43"/>
      <c r="S135" s="46"/>
      <c r="T135" s="43"/>
      <c r="U135" s="43"/>
      <c r="V135" s="77"/>
      <c r="W135" s="43"/>
      <c r="X135" s="43"/>
      <c r="Y135" s="43"/>
      <c r="Z135" s="43"/>
      <c r="AA135" s="43"/>
      <c r="AB135" s="7"/>
      <c r="AC135" s="88"/>
      <c r="AD135" s="88"/>
      <c r="AE135" s="88"/>
      <c r="AF135" s="88"/>
      <c r="AG135" s="117">
        <v>11</v>
      </c>
    </row>
    <row r="136" spans="1:33" s="117" customFormat="1" ht="11.45" customHeight="1">
      <c r="A136" s="330"/>
      <c r="B136" s="46"/>
      <c r="C136" s="46"/>
      <c r="L136" s="43"/>
      <c r="M136" s="46"/>
      <c r="N136" s="46"/>
      <c r="O136" s="43"/>
      <c r="P136" s="43"/>
      <c r="Q136" s="43"/>
      <c r="R136" s="43"/>
      <c r="S136" s="46"/>
      <c r="T136" s="43"/>
      <c r="U136" s="43"/>
      <c r="V136" s="77"/>
      <c r="W136" s="43"/>
      <c r="X136" s="43"/>
      <c r="Y136" s="43"/>
      <c r="Z136" s="43"/>
      <c r="AA136" s="43"/>
      <c r="AB136" s="7"/>
      <c r="AC136" s="88"/>
      <c r="AD136" s="88"/>
      <c r="AE136" s="88"/>
      <c r="AF136" s="88"/>
      <c r="AG136" s="117">
        <v>11</v>
      </c>
    </row>
    <row r="137" spans="1:33" s="117" customFormat="1" ht="11.45" customHeight="1">
      <c r="A137" s="330"/>
      <c r="B137" s="46"/>
      <c r="C137" s="46"/>
      <c r="L137" s="43"/>
      <c r="M137" s="46"/>
      <c r="N137" s="46"/>
      <c r="O137" s="43"/>
      <c r="P137" s="43"/>
      <c r="Q137" s="43"/>
      <c r="R137" s="43"/>
      <c r="S137" s="46"/>
      <c r="T137" s="43"/>
      <c r="U137" s="43"/>
      <c r="V137" s="77"/>
      <c r="W137" s="43"/>
      <c r="X137" s="43"/>
      <c r="Y137" s="43"/>
      <c r="Z137" s="43"/>
      <c r="AA137" s="43"/>
      <c r="AB137" s="7"/>
      <c r="AC137" s="88"/>
      <c r="AD137" s="88"/>
      <c r="AE137" s="88"/>
      <c r="AF137" s="88"/>
      <c r="AG137" s="117">
        <v>11</v>
      </c>
    </row>
    <row r="138" spans="1:33" s="117" customFormat="1" ht="11.45" customHeight="1">
      <c r="A138" s="330"/>
      <c r="B138" s="46"/>
      <c r="C138" s="46"/>
      <c r="L138" s="43"/>
      <c r="M138" s="46"/>
      <c r="N138" s="46"/>
      <c r="O138" s="43"/>
      <c r="P138" s="43"/>
      <c r="Q138" s="43"/>
      <c r="R138" s="43"/>
      <c r="S138" s="46"/>
      <c r="T138" s="43"/>
      <c r="U138" s="43"/>
      <c r="V138" s="77"/>
      <c r="W138" s="43"/>
      <c r="X138" s="43"/>
      <c r="Y138" s="43"/>
      <c r="Z138" s="43"/>
      <c r="AA138" s="43"/>
      <c r="AB138" s="7"/>
      <c r="AC138" s="88"/>
      <c r="AD138" s="88"/>
      <c r="AE138" s="88"/>
      <c r="AF138" s="88"/>
      <c r="AG138" s="117">
        <v>11</v>
      </c>
    </row>
    <row r="139" spans="1:33" s="117" customFormat="1" ht="11.45" customHeight="1">
      <c r="A139" s="330"/>
      <c r="B139" s="46"/>
      <c r="C139" s="46"/>
      <c r="L139" s="43"/>
      <c r="M139" s="46"/>
      <c r="N139" s="46"/>
      <c r="O139" s="43"/>
      <c r="P139" s="43"/>
      <c r="Q139" s="43"/>
      <c r="R139" s="43"/>
      <c r="S139" s="46"/>
      <c r="T139" s="43"/>
      <c r="U139" s="43"/>
      <c r="V139" s="77"/>
      <c r="W139" s="43"/>
      <c r="X139" s="43"/>
      <c r="Y139" s="43"/>
      <c r="Z139" s="43"/>
      <c r="AA139" s="43"/>
      <c r="AB139" s="7"/>
      <c r="AC139" s="88"/>
      <c r="AD139" s="88"/>
      <c r="AE139" s="88"/>
      <c r="AF139" s="88"/>
      <c r="AG139" s="117">
        <v>11</v>
      </c>
    </row>
    <row r="140" spans="1:33" s="117" customFormat="1" ht="11.45" customHeight="1">
      <c r="A140" s="330"/>
      <c r="B140" s="46"/>
      <c r="C140" s="46"/>
      <c r="L140" s="43"/>
      <c r="M140" s="46"/>
      <c r="N140" s="46"/>
      <c r="O140" s="43"/>
      <c r="P140" s="43"/>
      <c r="Q140" s="43"/>
      <c r="R140" s="43"/>
      <c r="S140" s="46"/>
      <c r="T140" s="43"/>
      <c r="U140" s="43"/>
      <c r="V140" s="77"/>
      <c r="W140" s="43"/>
      <c r="X140" s="43"/>
      <c r="Y140" s="43"/>
      <c r="Z140" s="43"/>
      <c r="AA140" s="43"/>
      <c r="AB140" s="7"/>
      <c r="AC140" s="88"/>
      <c r="AD140" s="88"/>
      <c r="AE140" s="88"/>
      <c r="AF140" s="88"/>
      <c r="AG140" s="117">
        <v>11</v>
      </c>
    </row>
    <row r="141" spans="1:33" s="117" customFormat="1" ht="11.45" customHeight="1">
      <c r="A141" s="330"/>
      <c r="B141" s="46"/>
      <c r="C141" s="46"/>
      <c r="L141" s="43"/>
      <c r="M141" s="46"/>
      <c r="N141" s="46"/>
      <c r="O141" s="43"/>
      <c r="P141" s="43"/>
      <c r="Q141" s="43"/>
      <c r="R141" s="43"/>
      <c r="S141" s="46"/>
      <c r="T141" s="43"/>
      <c r="U141" s="43"/>
      <c r="V141" s="77"/>
      <c r="W141" s="43"/>
      <c r="X141" s="43"/>
      <c r="Y141" s="43"/>
      <c r="Z141" s="43"/>
      <c r="AA141" s="43"/>
      <c r="AB141" s="7"/>
      <c r="AC141" s="88"/>
      <c r="AD141" s="88"/>
      <c r="AE141" s="88"/>
      <c r="AF141" s="88"/>
      <c r="AG141" s="117">
        <v>11</v>
      </c>
    </row>
    <row r="142" spans="1:33" s="117" customFormat="1" ht="11.45" customHeight="1">
      <c r="A142" s="330"/>
      <c r="B142" s="46"/>
      <c r="C142" s="46"/>
      <c r="L142" s="43"/>
      <c r="M142" s="46"/>
      <c r="N142" s="46"/>
      <c r="O142" s="43"/>
      <c r="P142" s="43"/>
      <c r="Q142" s="43"/>
      <c r="R142" s="43"/>
      <c r="S142" s="46"/>
      <c r="T142" s="43"/>
      <c r="U142" s="43"/>
      <c r="V142" s="77"/>
      <c r="W142" s="43"/>
      <c r="X142" s="43"/>
      <c r="Y142" s="43"/>
      <c r="Z142" s="43"/>
      <c r="AA142" s="43"/>
      <c r="AB142" s="7"/>
      <c r="AC142" s="88"/>
      <c r="AD142" s="88"/>
      <c r="AE142" s="88"/>
      <c r="AF142" s="88"/>
      <c r="AG142" s="117">
        <v>11</v>
      </c>
    </row>
    <row r="143" spans="1:33" s="117" customFormat="1" ht="11.45" customHeight="1">
      <c r="A143" s="330"/>
      <c r="B143" s="46"/>
      <c r="C143" s="46"/>
      <c r="L143" s="43"/>
      <c r="M143" s="46"/>
      <c r="N143" s="46"/>
      <c r="O143" s="43"/>
      <c r="P143" s="43"/>
      <c r="Q143" s="43"/>
      <c r="R143" s="43"/>
      <c r="S143" s="46"/>
      <c r="T143" s="43"/>
      <c r="U143" s="43"/>
      <c r="V143" s="77"/>
      <c r="W143" s="43"/>
      <c r="X143" s="43"/>
      <c r="Y143" s="43"/>
      <c r="Z143" s="43"/>
      <c r="AA143" s="43"/>
      <c r="AB143" s="7"/>
      <c r="AC143" s="88"/>
      <c r="AD143" s="88"/>
      <c r="AE143" s="88"/>
      <c r="AF143" s="88"/>
      <c r="AG143" s="117">
        <v>11</v>
      </c>
    </row>
    <row r="144" spans="1:33" s="117" customFormat="1" ht="11.45" customHeight="1">
      <c r="A144" s="330"/>
      <c r="B144" s="46"/>
      <c r="C144" s="46"/>
      <c r="L144" s="43"/>
      <c r="M144" s="46"/>
      <c r="N144" s="46"/>
      <c r="O144" s="43"/>
      <c r="P144" s="43"/>
      <c r="Q144" s="43"/>
      <c r="R144" s="43"/>
      <c r="S144" s="46"/>
      <c r="T144" s="43"/>
      <c r="U144" s="43"/>
      <c r="V144" s="77"/>
      <c r="W144" s="43"/>
      <c r="X144" s="43"/>
      <c r="Y144" s="43"/>
      <c r="Z144" s="43"/>
      <c r="AA144" s="43"/>
      <c r="AB144" s="7"/>
      <c r="AC144" s="88"/>
      <c r="AD144" s="88"/>
      <c r="AE144" s="88"/>
      <c r="AF144" s="88"/>
      <c r="AG144" s="117">
        <v>11</v>
      </c>
    </row>
    <row r="145" spans="1:33" s="117" customFormat="1" ht="11.45" customHeight="1">
      <c r="A145" s="330"/>
      <c r="B145" s="46"/>
      <c r="C145" s="46"/>
      <c r="L145" s="43"/>
      <c r="M145" s="46"/>
      <c r="N145" s="46"/>
      <c r="O145" s="43"/>
      <c r="P145" s="43"/>
      <c r="Q145" s="43"/>
      <c r="R145" s="43"/>
      <c r="S145" s="46"/>
      <c r="T145" s="43"/>
      <c r="U145" s="43"/>
      <c r="V145" s="77"/>
      <c r="W145" s="43"/>
      <c r="X145" s="43"/>
      <c r="Y145" s="43"/>
      <c r="Z145" s="43"/>
      <c r="AA145" s="43"/>
      <c r="AB145" s="7"/>
      <c r="AC145" s="88"/>
      <c r="AD145" s="88"/>
      <c r="AE145" s="88"/>
      <c r="AF145" s="88"/>
      <c r="AG145" s="117">
        <v>11</v>
      </c>
    </row>
    <row r="146" spans="1:33" s="117" customFormat="1" ht="11.45" customHeight="1">
      <c r="A146" s="330"/>
      <c r="B146" s="46"/>
      <c r="C146" s="46"/>
      <c r="L146" s="43"/>
      <c r="M146" s="46"/>
      <c r="N146" s="46"/>
      <c r="O146" s="43"/>
      <c r="P146" s="43"/>
      <c r="Q146" s="43"/>
      <c r="R146" s="43"/>
      <c r="S146" s="46"/>
      <c r="T146" s="43"/>
      <c r="U146" s="43"/>
      <c r="V146" s="77"/>
      <c r="W146" s="43"/>
      <c r="X146" s="43"/>
      <c r="Y146" s="43"/>
      <c r="Z146" s="43"/>
      <c r="AA146" s="43"/>
      <c r="AB146" s="7"/>
      <c r="AC146" s="88"/>
      <c r="AD146" s="88"/>
      <c r="AE146" s="88"/>
      <c r="AF146" s="88"/>
      <c r="AG146" s="117">
        <v>11</v>
      </c>
    </row>
    <row r="147" spans="1:33" s="117" customFormat="1" ht="11.45" customHeight="1">
      <c r="A147" s="330"/>
      <c r="B147" s="46"/>
      <c r="C147" s="46"/>
      <c r="L147" s="43"/>
      <c r="M147" s="46"/>
      <c r="N147" s="46"/>
      <c r="O147" s="43"/>
      <c r="P147" s="43"/>
      <c r="Q147" s="43"/>
      <c r="R147" s="43"/>
      <c r="S147" s="46"/>
      <c r="T147" s="43"/>
      <c r="U147" s="43"/>
      <c r="V147" s="77"/>
      <c r="W147" s="43"/>
      <c r="X147" s="43"/>
      <c r="Y147" s="43"/>
      <c r="Z147" s="43"/>
      <c r="AA147" s="43"/>
      <c r="AB147" s="7"/>
      <c r="AC147" s="88"/>
      <c r="AD147" s="88"/>
      <c r="AE147" s="88"/>
      <c r="AF147" s="88"/>
      <c r="AG147" s="117">
        <v>11</v>
      </c>
    </row>
    <row r="148" spans="1:33" s="117" customFormat="1" ht="11.45" customHeight="1">
      <c r="A148" s="330"/>
      <c r="B148" s="46"/>
      <c r="C148" s="46"/>
      <c r="L148" s="43"/>
      <c r="M148" s="46"/>
      <c r="N148" s="46"/>
      <c r="O148" s="43"/>
      <c r="P148" s="43"/>
      <c r="Q148" s="43"/>
      <c r="R148" s="43"/>
      <c r="S148" s="46"/>
      <c r="T148" s="43"/>
      <c r="U148" s="43"/>
      <c r="V148" s="77"/>
      <c r="W148" s="43"/>
      <c r="X148" s="43"/>
      <c r="Y148" s="43"/>
      <c r="Z148" s="43"/>
      <c r="AA148" s="43"/>
      <c r="AB148" s="7"/>
      <c r="AC148" s="88"/>
      <c r="AD148" s="88"/>
      <c r="AE148" s="88"/>
      <c r="AF148" s="88"/>
      <c r="AG148" s="117">
        <v>11</v>
      </c>
    </row>
    <row r="149" spans="1:33" s="117" customFormat="1" ht="11.45" customHeight="1">
      <c r="A149" s="330"/>
      <c r="B149" s="46"/>
      <c r="C149" s="46"/>
      <c r="L149" s="43"/>
      <c r="M149" s="46"/>
      <c r="N149" s="46"/>
      <c r="O149" s="43"/>
      <c r="P149" s="43"/>
      <c r="Q149" s="43"/>
      <c r="R149" s="43"/>
      <c r="S149" s="46"/>
      <c r="T149" s="43"/>
      <c r="U149" s="43"/>
      <c r="V149" s="77"/>
      <c r="W149" s="43"/>
      <c r="X149" s="43"/>
      <c r="Y149" s="43"/>
      <c r="Z149" s="43"/>
      <c r="AA149" s="43"/>
      <c r="AB149" s="7"/>
      <c r="AC149" s="88"/>
      <c r="AD149" s="88"/>
      <c r="AE149" s="88"/>
      <c r="AF149" s="88"/>
      <c r="AG149" s="117">
        <v>11</v>
      </c>
    </row>
    <row r="150" spans="1:33" s="117" customFormat="1" ht="11.45" customHeight="1">
      <c r="A150" s="330"/>
      <c r="B150" s="46"/>
      <c r="C150" s="46"/>
      <c r="L150" s="43"/>
      <c r="M150" s="46"/>
      <c r="N150" s="46"/>
      <c r="O150" s="43"/>
      <c r="P150" s="43"/>
      <c r="Q150" s="43"/>
      <c r="R150" s="43"/>
      <c r="S150" s="46"/>
      <c r="T150" s="43"/>
      <c r="U150" s="43"/>
      <c r="V150" s="77"/>
      <c r="W150" s="43"/>
      <c r="X150" s="43"/>
      <c r="Y150" s="43"/>
      <c r="Z150" s="43"/>
      <c r="AA150" s="43"/>
      <c r="AB150" s="7"/>
      <c r="AC150" s="88"/>
      <c r="AD150" s="88"/>
      <c r="AE150" s="88"/>
      <c r="AF150" s="88"/>
      <c r="AG150" s="117">
        <v>11</v>
      </c>
    </row>
    <row r="151" spans="1:33" s="117" customFormat="1" ht="11.45" customHeight="1">
      <c r="A151" s="330"/>
      <c r="B151" s="46"/>
      <c r="C151" s="46"/>
      <c r="L151" s="43"/>
      <c r="M151" s="46"/>
      <c r="N151" s="46"/>
      <c r="O151" s="43"/>
      <c r="P151" s="43"/>
      <c r="Q151" s="43"/>
      <c r="R151" s="43"/>
      <c r="S151" s="46"/>
      <c r="T151" s="43"/>
      <c r="U151" s="43"/>
      <c r="V151" s="77"/>
      <c r="W151" s="43"/>
      <c r="X151" s="43"/>
      <c r="Y151" s="43"/>
      <c r="Z151" s="43"/>
      <c r="AA151" s="43"/>
      <c r="AB151" s="7"/>
      <c r="AC151" s="88"/>
      <c r="AD151" s="88"/>
      <c r="AE151" s="88"/>
      <c r="AF151" s="88"/>
      <c r="AG151" s="117">
        <v>11</v>
      </c>
    </row>
    <row r="152" spans="1:33" s="117" customFormat="1" ht="11.45" customHeight="1">
      <c r="A152" s="330"/>
      <c r="B152" s="46"/>
      <c r="C152" s="46"/>
      <c r="L152" s="43"/>
      <c r="M152" s="46"/>
      <c r="N152" s="46"/>
      <c r="O152" s="43"/>
      <c r="P152" s="43"/>
      <c r="Q152" s="43"/>
      <c r="R152" s="43"/>
      <c r="S152" s="46"/>
      <c r="T152" s="43"/>
      <c r="U152" s="43"/>
      <c r="V152" s="77"/>
      <c r="W152" s="43"/>
      <c r="X152" s="43"/>
      <c r="Y152" s="43"/>
      <c r="Z152" s="43"/>
      <c r="AA152" s="43"/>
      <c r="AB152" s="7"/>
      <c r="AC152" s="88"/>
      <c r="AD152" s="88"/>
      <c r="AE152" s="88"/>
      <c r="AF152" s="88"/>
      <c r="AG152" s="117">
        <v>11</v>
      </c>
    </row>
    <row r="153" spans="1:33" s="117" customFormat="1" ht="11.45" customHeight="1">
      <c r="A153" s="330"/>
      <c r="B153" s="46"/>
      <c r="C153" s="46"/>
      <c r="L153" s="43"/>
      <c r="M153" s="46"/>
      <c r="N153" s="46"/>
      <c r="O153" s="43"/>
      <c r="P153" s="43"/>
      <c r="Q153" s="43"/>
      <c r="R153" s="43"/>
      <c r="S153" s="46"/>
      <c r="T153" s="43"/>
      <c r="U153" s="43"/>
      <c r="V153" s="77"/>
      <c r="W153" s="43"/>
      <c r="X153" s="43"/>
      <c r="Y153" s="43"/>
      <c r="Z153" s="43"/>
      <c r="AA153" s="43"/>
      <c r="AB153" s="7"/>
      <c r="AC153" s="88"/>
      <c r="AD153" s="88"/>
      <c r="AE153" s="88"/>
      <c r="AF153" s="88"/>
      <c r="AG153" s="117">
        <v>11</v>
      </c>
    </row>
    <row r="154" spans="1:33" s="117" customFormat="1" ht="11.45" customHeight="1">
      <c r="A154" s="330"/>
      <c r="B154" s="46"/>
      <c r="C154" s="46"/>
      <c r="L154" s="43"/>
      <c r="M154" s="46"/>
      <c r="N154" s="46"/>
      <c r="O154" s="43"/>
      <c r="P154" s="43"/>
      <c r="Q154" s="43"/>
      <c r="R154" s="43"/>
      <c r="S154" s="46"/>
      <c r="T154" s="43"/>
      <c r="U154" s="43"/>
      <c r="V154" s="77"/>
      <c r="W154" s="43"/>
      <c r="X154" s="43"/>
      <c r="Y154" s="43"/>
      <c r="Z154" s="43"/>
      <c r="AA154" s="43"/>
      <c r="AB154" s="7"/>
      <c r="AC154" s="88"/>
      <c r="AD154" s="88"/>
      <c r="AE154" s="88"/>
      <c r="AF154" s="88"/>
      <c r="AG154" s="117">
        <v>11</v>
      </c>
    </row>
    <row r="155" spans="1:33" s="117" customFormat="1" ht="11.45" customHeight="1">
      <c r="A155" s="330"/>
      <c r="B155" s="46"/>
      <c r="C155" s="46"/>
      <c r="L155" s="43"/>
      <c r="M155" s="46"/>
      <c r="N155" s="46"/>
      <c r="O155" s="43"/>
      <c r="P155" s="43"/>
      <c r="Q155" s="43"/>
      <c r="R155" s="43"/>
      <c r="S155" s="46"/>
      <c r="T155" s="43"/>
      <c r="U155" s="43"/>
      <c r="V155" s="77"/>
      <c r="W155" s="43"/>
      <c r="X155" s="43"/>
      <c r="Y155" s="43"/>
      <c r="Z155" s="43"/>
      <c r="AA155" s="43"/>
      <c r="AB155" s="7"/>
      <c r="AC155" s="88"/>
      <c r="AD155" s="88"/>
      <c r="AE155" s="88"/>
      <c r="AF155" s="88"/>
      <c r="AG155" s="117">
        <v>11</v>
      </c>
    </row>
    <row r="156" spans="1:33" s="117" customFormat="1" ht="11.45" customHeight="1">
      <c r="A156" s="330"/>
      <c r="B156" s="46"/>
      <c r="C156" s="46"/>
      <c r="L156" s="43"/>
      <c r="M156" s="46"/>
      <c r="N156" s="46"/>
      <c r="O156" s="43"/>
      <c r="P156" s="43"/>
      <c r="Q156" s="43"/>
      <c r="R156" s="43"/>
      <c r="S156" s="46"/>
      <c r="T156" s="43"/>
      <c r="U156" s="43"/>
      <c r="V156" s="77"/>
      <c r="W156" s="43"/>
      <c r="X156" s="43"/>
      <c r="Y156" s="43"/>
      <c r="Z156" s="43"/>
      <c r="AA156" s="43"/>
      <c r="AB156" s="7"/>
      <c r="AC156" s="88"/>
      <c r="AD156" s="88"/>
      <c r="AE156" s="88"/>
      <c r="AF156" s="88"/>
      <c r="AG156" s="117">
        <v>11</v>
      </c>
    </row>
    <row r="157" spans="1:33" s="117" customFormat="1" ht="11.45" customHeight="1">
      <c r="A157" s="330"/>
      <c r="B157" s="46"/>
      <c r="C157" s="46"/>
      <c r="L157" s="43"/>
      <c r="M157" s="46"/>
      <c r="N157" s="46"/>
      <c r="O157" s="43"/>
      <c r="P157" s="43"/>
      <c r="Q157" s="43"/>
      <c r="R157" s="43"/>
      <c r="S157" s="46"/>
      <c r="T157" s="43"/>
      <c r="U157" s="43"/>
      <c r="V157" s="77"/>
      <c r="W157" s="43"/>
      <c r="X157" s="43"/>
      <c r="Y157" s="43"/>
      <c r="Z157" s="43"/>
      <c r="AA157" s="43"/>
      <c r="AB157" s="7"/>
      <c r="AC157" s="88"/>
      <c r="AD157" s="88"/>
      <c r="AE157" s="88"/>
      <c r="AF157" s="88"/>
      <c r="AG157" s="117">
        <v>11</v>
      </c>
    </row>
    <row r="158" spans="1:33" s="117" customFormat="1" ht="11.45" customHeight="1">
      <c r="A158" s="330"/>
      <c r="B158" s="46"/>
      <c r="C158" s="46"/>
      <c r="L158" s="43"/>
      <c r="M158" s="46"/>
      <c r="N158" s="46"/>
      <c r="O158" s="43"/>
      <c r="P158" s="43"/>
      <c r="Q158" s="43"/>
      <c r="R158" s="43"/>
      <c r="S158" s="46"/>
      <c r="T158" s="43"/>
      <c r="U158" s="43"/>
      <c r="V158" s="77"/>
      <c r="W158" s="43"/>
      <c r="X158" s="43"/>
      <c r="Y158" s="43"/>
      <c r="Z158" s="43"/>
      <c r="AA158" s="43"/>
      <c r="AB158" s="7"/>
      <c r="AC158" s="88"/>
      <c r="AD158" s="88"/>
      <c r="AE158" s="88"/>
      <c r="AF158" s="88"/>
      <c r="AG158" s="117">
        <v>11</v>
      </c>
    </row>
    <row r="159" spans="1:33" s="117" customFormat="1" ht="11.45" customHeight="1">
      <c r="A159" s="330"/>
      <c r="B159" s="46"/>
      <c r="C159" s="46"/>
      <c r="L159" s="43"/>
      <c r="M159" s="46"/>
      <c r="N159" s="46"/>
      <c r="O159" s="43"/>
      <c r="P159" s="43"/>
      <c r="Q159" s="43"/>
      <c r="R159" s="43"/>
      <c r="S159" s="46"/>
      <c r="T159" s="43"/>
      <c r="U159" s="43"/>
      <c r="V159" s="77"/>
      <c r="W159" s="43"/>
      <c r="X159" s="43"/>
      <c r="Y159" s="43"/>
      <c r="Z159" s="43"/>
      <c r="AA159" s="43"/>
      <c r="AB159" s="7"/>
      <c r="AC159" s="88"/>
      <c r="AD159" s="88"/>
      <c r="AE159" s="88"/>
      <c r="AF159" s="88"/>
      <c r="AG159" s="117">
        <v>11</v>
      </c>
    </row>
    <row r="160" spans="1:33" s="117" customFormat="1" ht="11.45" customHeight="1">
      <c r="A160" s="330"/>
      <c r="B160" s="46"/>
      <c r="C160" s="46"/>
      <c r="L160" s="43"/>
      <c r="M160" s="46"/>
      <c r="N160" s="46"/>
      <c r="O160" s="43"/>
      <c r="P160" s="43"/>
      <c r="Q160" s="43"/>
      <c r="R160" s="43"/>
      <c r="S160" s="46"/>
      <c r="T160" s="43"/>
      <c r="U160" s="43"/>
      <c r="V160" s="77"/>
      <c r="W160" s="43"/>
      <c r="X160" s="43"/>
      <c r="Y160" s="43"/>
      <c r="Z160" s="43"/>
      <c r="AA160" s="43"/>
      <c r="AB160" s="7"/>
      <c r="AC160" s="88"/>
      <c r="AD160" s="88"/>
      <c r="AE160" s="88"/>
      <c r="AF160" s="88"/>
      <c r="AG160" s="117">
        <v>11</v>
      </c>
    </row>
    <row r="161" spans="1:33" s="117" customFormat="1" ht="11.45" customHeight="1">
      <c r="A161" s="330"/>
      <c r="B161" s="46"/>
      <c r="C161" s="46"/>
      <c r="L161" s="43"/>
      <c r="M161" s="46"/>
      <c r="N161" s="46"/>
      <c r="O161" s="43"/>
      <c r="P161" s="43"/>
      <c r="Q161" s="43"/>
      <c r="R161" s="43"/>
      <c r="S161" s="46"/>
      <c r="T161" s="43"/>
      <c r="U161" s="43"/>
      <c r="V161" s="77"/>
      <c r="W161" s="43"/>
      <c r="X161" s="43"/>
      <c r="Y161" s="43"/>
      <c r="Z161" s="43"/>
      <c r="AA161" s="43"/>
      <c r="AB161" s="7"/>
      <c r="AC161" s="88"/>
      <c r="AD161" s="88"/>
      <c r="AE161" s="88"/>
      <c r="AF161" s="88"/>
      <c r="AG161" s="117">
        <v>11</v>
      </c>
    </row>
    <row r="162" spans="1:33" s="117" customFormat="1" ht="11.45" customHeight="1">
      <c r="A162" s="330"/>
      <c r="B162" s="46"/>
      <c r="C162" s="46"/>
      <c r="L162" s="43"/>
      <c r="M162" s="46"/>
      <c r="N162" s="46"/>
      <c r="O162" s="43"/>
      <c r="P162" s="43"/>
      <c r="Q162" s="43"/>
      <c r="R162" s="43"/>
      <c r="S162" s="46"/>
      <c r="T162" s="43"/>
      <c r="U162" s="43"/>
      <c r="V162" s="77"/>
      <c r="W162" s="43"/>
      <c r="X162" s="43"/>
      <c r="Y162" s="43"/>
      <c r="Z162" s="43"/>
      <c r="AA162" s="43"/>
      <c r="AB162" s="7"/>
      <c r="AC162" s="88"/>
      <c r="AD162" s="88"/>
      <c r="AE162" s="88"/>
      <c r="AF162" s="88"/>
      <c r="AG162" s="117">
        <v>11</v>
      </c>
    </row>
    <row r="163" spans="1:33" s="117" customFormat="1" ht="11.45" customHeight="1">
      <c r="A163" s="330"/>
      <c r="B163" s="46"/>
      <c r="C163" s="46"/>
      <c r="L163" s="43"/>
      <c r="M163" s="46"/>
      <c r="N163" s="46"/>
      <c r="O163" s="43"/>
      <c r="P163" s="43"/>
      <c r="Q163" s="43"/>
      <c r="R163" s="43"/>
      <c r="S163" s="46"/>
      <c r="T163" s="43"/>
      <c r="U163" s="43"/>
      <c r="V163" s="77"/>
      <c r="W163" s="43"/>
      <c r="X163" s="43"/>
      <c r="Y163" s="43"/>
      <c r="Z163" s="43"/>
      <c r="AA163" s="43"/>
      <c r="AB163" s="7"/>
      <c r="AC163" s="88"/>
      <c r="AD163" s="88"/>
      <c r="AE163" s="88"/>
      <c r="AF163" s="88"/>
      <c r="AG163" s="117">
        <v>11</v>
      </c>
    </row>
    <row r="164" spans="1:33" s="117" customFormat="1" ht="11.45" customHeight="1">
      <c r="A164" s="330"/>
      <c r="B164" s="46"/>
      <c r="C164" s="46"/>
      <c r="L164" s="43"/>
      <c r="M164" s="46"/>
      <c r="N164" s="46"/>
      <c r="O164" s="43"/>
      <c r="P164" s="43"/>
      <c r="Q164" s="43"/>
      <c r="R164" s="43"/>
      <c r="S164" s="46"/>
      <c r="T164" s="43"/>
      <c r="U164" s="43"/>
      <c r="V164" s="77"/>
      <c r="W164" s="43"/>
      <c r="X164" s="43"/>
      <c r="Y164" s="43"/>
      <c r="Z164" s="43"/>
      <c r="AA164" s="43"/>
      <c r="AB164" s="7"/>
      <c r="AC164" s="88"/>
      <c r="AD164" s="88"/>
      <c r="AE164" s="88"/>
      <c r="AF164" s="88"/>
      <c r="AG164" s="117">
        <v>11</v>
      </c>
    </row>
    <row r="165" spans="1:33" s="117" customFormat="1" ht="11.45" customHeight="1">
      <c r="A165" s="330"/>
      <c r="B165" s="46"/>
      <c r="C165" s="46"/>
      <c r="L165" s="43"/>
      <c r="M165" s="46"/>
      <c r="N165" s="46"/>
      <c r="O165" s="43"/>
      <c r="P165" s="43"/>
      <c r="Q165" s="43"/>
      <c r="R165" s="43"/>
      <c r="S165" s="46"/>
      <c r="T165" s="43"/>
      <c r="U165" s="43"/>
      <c r="V165" s="77"/>
      <c r="W165" s="43"/>
      <c r="X165" s="43"/>
      <c r="Y165" s="43"/>
      <c r="Z165" s="43"/>
      <c r="AA165" s="43"/>
      <c r="AB165" s="7"/>
      <c r="AC165" s="88"/>
      <c r="AD165" s="88"/>
      <c r="AE165" s="88"/>
      <c r="AF165" s="88"/>
      <c r="AG165" s="117">
        <v>11</v>
      </c>
    </row>
    <row r="166" spans="1:33" s="117" customFormat="1" ht="11.45" customHeight="1">
      <c r="A166" s="330"/>
      <c r="B166" s="46"/>
      <c r="C166" s="46"/>
      <c r="L166" s="43"/>
      <c r="M166" s="46"/>
      <c r="N166" s="46"/>
      <c r="O166" s="43"/>
      <c r="P166" s="43"/>
      <c r="Q166" s="43"/>
      <c r="R166" s="43"/>
      <c r="S166" s="46"/>
      <c r="T166" s="43"/>
      <c r="U166" s="43"/>
      <c r="V166" s="77"/>
      <c r="W166" s="43"/>
      <c r="X166" s="43"/>
      <c r="Y166" s="43"/>
      <c r="Z166" s="43"/>
      <c r="AA166" s="43"/>
      <c r="AB166" s="7"/>
      <c r="AC166" s="88"/>
      <c r="AD166" s="88"/>
      <c r="AE166" s="88"/>
      <c r="AF166" s="88"/>
      <c r="AG166" s="117">
        <v>11</v>
      </c>
    </row>
    <row r="167" spans="1:33" s="117" customFormat="1" ht="11.45" customHeight="1">
      <c r="A167" s="330"/>
      <c r="B167" s="46"/>
      <c r="C167" s="46"/>
      <c r="L167" s="43"/>
      <c r="M167" s="46"/>
      <c r="N167" s="46"/>
      <c r="O167" s="43"/>
      <c r="P167" s="43"/>
      <c r="Q167" s="43"/>
      <c r="R167" s="43"/>
      <c r="S167" s="46"/>
      <c r="T167" s="43"/>
      <c r="U167" s="43"/>
      <c r="V167" s="77"/>
      <c r="W167" s="43"/>
      <c r="X167" s="43"/>
      <c r="Y167" s="43"/>
      <c r="Z167" s="43"/>
      <c r="AA167" s="43"/>
      <c r="AB167" s="7"/>
      <c r="AC167" s="88"/>
      <c r="AD167" s="88"/>
      <c r="AE167" s="88"/>
      <c r="AF167" s="88"/>
      <c r="AG167" s="117">
        <v>11</v>
      </c>
    </row>
    <row r="168" spans="1:33" s="117" customFormat="1" ht="11.45" customHeight="1">
      <c r="A168" s="330"/>
      <c r="B168" s="46"/>
      <c r="C168" s="46"/>
      <c r="L168" s="43"/>
      <c r="M168" s="46"/>
      <c r="N168" s="46"/>
      <c r="O168" s="43"/>
      <c r="P168" s="43"/>
      <c r="Q168" s="43"/>
      <c r="R168" s="43"/>
      <c r="S168" s="46"/>
      <c r="T168" s="43"/>
      <c r="U168" s="43"/>
      <c r="V168" s="77"/>
      <c r="W168" s="43"/>
      <c r="X168" s="43"/>
      <c r="Y168" s="43"/>
      <c r="Z168" s="43"/>
      <c r="AA168" s="43"/>
      <c r="AB168" s="7"/>
      <c r="AC168" s="88"/>
      <c r="AD168" s="88"/>
      <c r="AE168" s="88"/>
      <c r="AF168" s="88"/>
      <c r="AG168" s="117">
        <v>11</v>
      </c>
    </row>
    <row r="169" spans="1:33" s="117" customFormat="1" ht="11.45" customHeight="1">
      <c r="A169" s="330"/>
      <c r="B169" s="46"/>
      <c r="C169" s="46"/>
      <c r="L169" s="43"/>
      <c r="M169" s="46"/>
      <c r="N169" s="46"/>
      <c r="O169" s="43"/>
      <c r="P169" s="43"/>
      <c r="Q169" s="43"/>
      <c r="R169" s="43"/>
      <c r="S169" s="46"/>
      <c r="T169" s="43"/>
      <c r="U169" s="43"/>
      <c r="V169" s="77"/>
      <c r="W169" s="43"/>
      <c r="X169" s="43"/>
      <c r="Y169" s="43"/>
      <c r="Z169" s="43"/>
      <c r="AA169" s="43"/>
      <c r="AB169" s="7"/>
      <c r="AC169" s="88"/>
      <c r="AD169" s="88"/>
      <c r="AE169" s="88"/>
      <c r="AF169" s="88"/>
      <c r="AG169" s="117">
        <v>11</v>
      </c>
    </row>
    <row r="170" spans="1:33" s="117" customFormat="1" ht="11.45" customHeight="1">
      <c r="A170" s="330"/>
      <c r="B170" s="46"/>
      <c r="C170" s="46"/>
      <c r="L170" s="43"/>
      <c r="M170" s="46"/>
      <c r="N170" s="46"/>
      <c r="O170" s="43"/>
      <c r="P170" s="43"/>
      <c r="Q170" s="43"/>
      <c r="R170" s="43"/>
      <c r="S170" s="46"/>
      <c r="T170" s="43"/>
      <c r="U170" s="43"/>
      <c r="V170" s="77"/>
      <c r="W170" s="43"/>
      <c r="X170" s="43"/>
      <c r="Y170" s="43"/>
      <c r="Z170" s="43"/>
      <c r="AA170" s="43"/>
      <c r="AB170" s="7"/>
      <c r="AC170" s="88"/>
      <c r="AD170" s="88"/>
      <c r="AE170" s="88"/>
      <c r="AF170" s="88"/>
      <c r="AG170" s="117">
        <v>11</v>
      </c>
    </row>
    <row r="171" spans="1:33" s="117" customFormat="1" ht="11.45" customHeight="1">
      <c r="A171" s="330"/>
      <c r="B171" s="46"/>
      <c r="C171" s="46"/>
      <c r="L171" s="43"/>
      <c r="M171" s="46"/>
      <c r="N171" s="46"/>
      <c r="O171" s="43"/>
      <c r="P171" s="43"/>
      <c r="Q171" s="43"/>
      <c r="R171" s="43"/>
      <c r="S171" s="46"/>
      <c r="T171" s="43"/>
      <c r="U171" s="43"/>
      <c r="V171" s="77"/>
      <c r="W171" s="43"/>
      <c r="X171" s="43"/>
      <c r="Y171" s="43"/>
      <c r="Z171" s="43"/>
      <c r="AA171" s="43"/>
      <c r="AB171" s="7"/>
      <c r="AC171" s="88"/>
      <c r="AD171" s="88"/>
      <c r="AE171" s="88"/>
      <c r="AF171" s="88"/>
      <c r="AG171" s="117">
        <v>11</v>
      </c>
    </row>
    <row r="172" spans="1:33" s="117" customFormat="1" ht="11.45" customHeight="1">
      <c r="A172" s="330"/>
      <c r="B172" s="46"/>
      <c r="C172" s="46"/>
      <c r="L172" s="43"/>
      <c r="M172" s="46"/>
      <c r="N172" s="46"/>
      <c r="O172" s="43"/>
      <c r="P172" s="43"/>
      <c r="Q172" s="43"/>
      <c r="R172" s="43"/>
      <c r="S172" s="46"/>
      <c r="T172" s="43"/>
      <c r="U172" s="43"/>
      <c r="V172" s="77"/>
      <c r="W172" s="43"/>
      <c r="X172" s="43"/>
      <c r="Y172" s="43"/>
      <c r="Z172" s="43"/>
      <c r="AA172" s="43"/>
      <c r="AB172" s="7"/>
      <c r="AC172" s="88"/>
      <c r="AD172" s="88"/>
      <c r="AE172" s="88"/>
      <c r="AF172" s="88"/>
      <c r="AG172" s="117">
        <v>11</v>
      </c>
    </row>
    <row r="173" spans="1:33" s="117" customFormat="1" ht="11.45" customHeight="1">
      <c r="A173" s="330"/>
      <c r="B173" s="46"/>
      <c r="C173" s="46"/>
      <c r="L173" s="43"/>
      <c r="M173" s="46"/>
      <c r="N173" s="46"/>
      <c r="O173" s="43"/>
      <c r="P173" s="43"/>
      <c r="Q173" s="43"/>
      <c r="R173" s="43"/>
      <c r="S173" s="46"/>
      <c r="T173" s="43"/>
      <c r="U173" s="43"/>
      <c r="V173" s="77"/>
      <c r="W173" s="43"/>
      <c r="X173" s="43"/>
      <c r="Y173" s="43"/>
      <c r="Z173" s="43"/>
      <c r="AA173" s="43"/>
      <c r="AB173" s="7"/>
      <c r="AC173" s="88"/>
      <c r="AD173" s="88"/>
      <c r="AE173" s="88"/>
      <c r="AF173" s="88"/>
      <c r="AG173" s="117">
        <v>11</v>
      </c>
    </row>
    <row r="174" spans="1:33" s="117" customFormat="1" ht="11.45" customHeight="1">
      <c r="A174" s="330"/>
      <c r="B174" s="46"/>
      <c r="C174" s="46"/>
      <c r="L174" s="43"/>
      <c r="M174" s="46"/>
      <c r="N174" s="46"/>
      <c r="O174" s="43"/>
      <c r="P174" s="43"/>
      <c r="Q174" s="43"/>
      <c r="R174" s="43"/>
      <c r="S174" s="46"/>
      <c r="T174" s="43"/>
      <c r="U174" s="43"/>
      <c r="V174" s="77"/>
      <c r="W174" s="43"/>
      <c r="X174" s="43"/>
      <c r="Y174" s="43"/>
      <c r="Z174" s="43"/>
      <c r="AA174" s="43"/>
      <c r="AB174" s="7"/>
      <c r="AC174" s="88"/>
      <c r="AD174" s="88"/>
      <c r="AE174" s="88"/>
      <c r="AF174" s="88"/>
      <c r="AG174" s="117">
        <v>11</v>
      </c>
    </row>
    <row r="175" spans="1:33" s="117" customFormat="1" ht="11.45" customHeight="1">
      <c r="A175" s="330"/>
      <c r="B175" s="46"/>
      <c r="C175" s="46"/>
      <c r="L175" s="43"/>
      <c r="M175" s="46"/>
      <c r="N175" s="46"/>
      <c r="O175" s="43"/>
      <c r="P175" s="43"/>
      <c r="Q175" s="43"/>
      <c r="R175" s="43"/>
      <c r="S175" s="46"/>
      <c r="T175" s="43"/>
      <c r="U175" s="43"/>
      <c r="V175" s="77"/>
      <c r="W175" s="43"/>
      <c r="X175" s="43"/>
      <c r="Y175" s="43"/>
      <c r="Z175" s="43"/>
      <c r="AA175" s="43"/>
      <c r="AB175" s="7"/>
      <c r="AC175" s="88"/>
      <c r="AD175" s="88"/>
      <c r="AE175" s="88"/>
      <c r="AF175" s="88"/>
      <c r="AG175" s="117">
        <v>11</v>
      </c>
    </row>
    <row r="176" spans="1:33" s="117" customFormat="1" ht="11.45" customHeight="1">
      <c r="A176" s="330"/>
      <c r="B176" s="46"/>
      <c r="C176" s="46"/>
      <c r="L176" s="43"/>
      <c r="M176" s="46"/>
      <c r="N176" s="46"/>
      <c r="O176" s="43"/>
      <c r="P176" s="43"/>
      <c r="Q176" s="43"/>
      <c r="R176" s="43"/>
      <c r="S176" s="46"/>
      <c r="T176" s="43"/>
      <c r="U176" s="43"/>
      <c r="V176" s="77"/>
      <c r="W176" s="43"/>
      <c r="X176" s="43"/>
      <c r="Y176" s="43"/>
      <c r="Z176" s="43"/>
      <c r="AA176" s="43"/>
      <c r="AB176" s="7"/>
      <c r="AC176" s="88"/>
      <c r="AD176" s="88"/>
      <c r="AE176" s="88"/>
      <c r="AF176" s="88"/>
      <c r="AG176" s="117">
        <v>11</v>
      </c>
    </row>
    <row r="177" spans="1:33" s="117" customFormat="1" ht="11.45" customHeight="1">
      <c r="A177" s="330"/>
      <c r="B177" s="46"/>
      <c r="C177" s="46"/>
      <c r="L177" s="43"/>
      <c r="M177" s="46"/>
      <c r="N177" s="46"/>
      <c r="O177" s="43"/>
      <c r="P177" s="43"/>
      <c r="Q177" s="43"/>
      <c r="R177" s="43"/>
      <c r="S177" s="46"/>
      <c r="T177" s="43"/>
      <c r="U177" s="43"/>
      <c r="V177" s="77"/>
      <c r="W177" s="43"/>
      <c r="X177" s="43"/>
      <c r="Y177" s="43"/>
      <c r="Z177" s="43"/>
      <c r="AA177" s="43"/>
      <c r="AB177" s="7"/>
      <c r="AC177" s="88"/>
      <c r="AD177" s="88"/>
      <c r="AE177" s="88"/>
      <c r="AF177" s="88"/>
      <c r="AG177" s="117">
        <v>11</v>
      </c>
    </row>
    <row r="178" spans="1:33" s="117" customFormat="1" ht="11.45" customHeight="1">
      <c r="A178" s="330"/>
      <c r="B178" s="46"/>
      <c r="C178" s="46"/>
      <c r="L178" s="43"/>
      <c r="M178" s="46"/>
      <c r="N178" s="46"/>
      <c r="O178" s="43"/>
      <c r="P178" s="43"/>
      <c r="Q178" s="43"/>
      <c r="R178" s="43"/>
      <c r="S178" s="46"/>
      <c r="T178" s="43"/>
      <c r="U178" s="43"/>
      <c r="V178" s="77"/>
      <c r="W178" s="43"/>
      <c r="X178" s="43"/>
      <c r="Y178" s="43"/>
      <c r="Z178" s="43"/>
      <c r="AA178" s="43"/>
      <c r="AB178" s="7"/>
      <c r="AC178" s="88"/>
      <c r="AD178" s="88"/>
      <c r="AE178" s="88"/>
      <c r="AF178" s="88"/>
      <c r="AG178" s="117">
        <v>11</v>
      </c>
    </row>
    <row r="179" spans="1:33" s="117" customFormat="1" ht="11.45" customHeight="1">
      <c r="A179" s="330"/>
      <c r="B179" s="46"/>
      <c r="C179" s="46"/>
      <c r="L179" s="43"/>
      <c r="M179" s="46"/>
      <c r="N179" s="46"/>
      <c r="O179" s="43"/>
      <c r="P179" s="43"/>
      <c r="Q179" s="43"/>
      <c r="R179" s="43"/>
      <c r="S179" s="46"/>
      <c r="T179" s="43"/>
      <c r="U179" s="43"/>
      <c r="V179" s="77"/>
      <c r="W179" s="43"/>
      <c r="X179" s="43"/>
      <c r="Y179" s="43"/>
      <c r="Z179" s="43"/>
      <c r="AA179" s="43"/>
      <c r="AB179" s="7"/>
      <c r="AC179" s="88"/>
      <c r="AD179" s="88"/>
      <c r="AE179" s="88"/>
      <c r="AF179" s="88"/>
      <c r="AG179" s="117">
        <v>11</v>
      </c>
    </row>
    <row r="180" spans="1:33" s="117" customFormat="1" ht="11.45" customHeight="1">
      <c r="A180" s="330"/>
      <c r="B180" s="46"/>
      <c r="C180" s="46"/>
      <c r="L180" s="43"/>
      <c r="M180" s="46"/>
      <c r="N180" s="46"/>
      <c r="O180" s="43"/>
      <c r="P180" s="43"/>
      <c r="Q180" s="43"/>
      <c r="R180" s="43"/>
      <c r="S180" s="46"/>
      <c r="T180" s="43"/>
      <c r="U180" s="43"/>
      <c r="V180" s="77"/>
      <c r="W180" s="43"/>
      <c r="X180" s="43"/>
      <c r="Y180" s="43"/>
      <c r="Z180" s="43"/>
      <c r="AA180" s="43"/>
      <c r="AB180" s="7"/>
      <c r="AC180" s="88"/>
      <c r="AD180" s="88"/>
      <c r="AE180" s="88"/>
      <c r="AF180" s="88"/>
      <c r="AG180" s="117">
        <v>11</v>
      </c>
    </row>
    <row r="181" spans="1:33" s="117" customFormat="1" ht="11.45" customHeight="1">
      <c r="A181" s="330"/>
      <c r="B181" s="46"/>
      <c r="C181" s="46"/>
      <c r="L181" s="43"/>
      <c r="M181" s="46"/>
      <c r="N181" s="46"/>
      <c r="O181" s="43"/>
      <c r="P181" s="43"/>
      <c r="Q181" s="43"/>
      <c r="R181" s="43"/>
      <c r="S181" s="46"/>
      <c r="T181" s="43"/>
      <c r="U181" s="43"/>
      <c r="V181" s="77"/>
      <c r="W181" s="43"/>
      <c r="X181" s="43"/>
      <c r="Y181" s="43"/>
      <c r="Z181" s="43"/>
      <c r="AA181" s="43"/>
      <c r="AB181" s="7"/>
      <c r="AC181" s="88"/>
      <c r="AD181" s="88"/>
      <c r="AE181" s="88"/>
      <c r="AF181" s="88"/>
      <c r="AG181" s="117">
        <v>11</v>
      </c>
    </row>
    <row r="182" spans="1:33" s="117" customFormat="1" ht="11.45" customHeight="1">
      <c r="A182" s="330"/>
      <c r="B182" s="46"/>
      <c r="C182" s="46"/>
      <c r="L182" s="43"/>
      <c r="M182" s="46"/>
      <c r="N182" s="46"/>
      <c r="O182" s="43"/>
      <c r="P182" s="43"/>
      <c r="Q182" s="43"/>
      <c r="R182" s="43"/>
      <c r="S182" s="46"/>
      <c r="T182" s="43"/>
      <c r="U182" s="43"/>
      <c r="V182" s="77"/>
      <c r="W182" s="43"/>
      <c r="X182" s="43"/>
      <c r="Y182" s="43"/>
      <c r="Z182" s="43"/>
      <c r="AA182" s="43"/>
      <c r="AB182" s="7"/>
      <c r="AC182" s="88"/>
      <c r="AD182" s="88"/>
      <c r="AE182" s="88"/>
      <c r="AF182" s="88"/>
      <c r="AG182" s="117">
        <v>11</v>
      </c>
    </row>
    <row r="183" spans="1:33" s="117" customFormat="1" ht="11.45" customHeight="1">
      <c r="A183" s="330"/>
      <c r="B183" s="46"/>
      <c r="C183" s="46"/>
      <c r="L183" s="43"/>
      <c r="M183" s="46"/>
      <c r="N183" s="46"/>
      <c r="O183" s="43"/>
      <c r="P183" s="43"/>
      <c r="Q183" s="43"/>
      <c r="R183" s="43"/>
      <c r="S183" s="46"/>
      <c r="T183" s="43"/>
      <c r="U183" s="43"/>
      <c r="V183" s="77"/>
      <c r="W183" s="43"/>
      <c r="X183" s="43"/>
      <c r="Y183" s="43"/>
      <c r="Z183" s="43"/>
      <c r="AA183" s="43"/>
      <c r="AB183" s="7"/>
      <c r="AC183" s="88"/>
      <c r="AD183" s="88"/>
      <c r="AE183" s="88"/>
      <c r="AF183" s="88"/>
      <c r="AG183" s="117">
        <v>11</v>
      </c>
    </row>
    <row r="184" spans="1:33" s="117" customFormat="1" ht="11.45" customHeight="1">
      <c r="A184" s="330"/>
      <c r="B184" s="46"/>
      <c r="C184" s="46"/>
      <c r="L184" s="43"/>
      <c r="M184" s="46"/>
      <c r="N184" s="46"/>
      <c r="O184" s="43"/>
      <c r="P184" s="43"/>
      <c r="Q184" s="43"/>
      <c r="R184" s="43"/>
      <c r="S184" s="46"/>
      <c r="T184" s="43"/>
      <c r="U184" s="43"/>
      <c r="V184" s="77"/>
      <c r="W184" s="43"/>
      <c r="X184" s="43"/>
      <c r="Y184" s="43"/>
      <c r="Z184" s="43"/>
      <c r="AA184" s="43"/>
      <c r="AB184" s="7"/>
      <c r="AC184" s="88"/>
      <c r="AD184" s="88"/>
      <c r="AE184" s="88"/>
      <c r="AF184" s="88"/>
      <c r="AG184" s="117">
        <v>11</v>
      </c>
    </row>
    <row r="185" spans="1:33" s="117" customFormat="1" ht="11.45" customHeight="1">
      <c r="A185" s="330"/>
      <c r="B185" s="46"/>
      <c r="C185" s="46"/>
      <c r="L185" s="43"/>
      <c r="M185" s="46"/>
      <c r="N185" s="46"/>
      <c r="O185" s="43"/>
      <c r="P185" s="43"/>
      <c r="Q185" s="43"/>
      <c r="R185" s="43"/>
      <c r="S185" s="46"/>
      <c r="T185" s="43"/>
      <c r="U185" s="43"/>
      <c r="V185" s="77"/>
      <c r="W185" s="43"/>
      <c r="X185" s="43"/>
      <c r="Y185" s="43"/>
      <c r="Z185" s="43"/>
      <c r="AA185" s="43"/>
      <c r="AB185" s="7"/>
      <c r="AC185" s="88"/>
      <c r="AD185" s="88"/>
      <c r="AE185" s="88"/>
      <c r="AF185" s="88"/>
      <c r="AG185" s="117">
        <v>11</v>
      </c>
    </row>
    <row r="186" spans="1:33" s="117" customFormat="1" ht="11.45" customHeight="1">
      <c r="A186" s="330"/>
      <c r="B186" s="46"/>
      <c r="C186" s="46"/>
      <c r="L186" s="43"/>
      <c r="M186" s="46"/>
      <c r="N186" s="46"/>
      <c r="O186" s="43"/>
      <c r="P186" s="43"/>
      <c r="Q186" s="43"/>
      <c r="R186" s="43"/>
      <c r="S186" s="46"/>
      <c r="T186" s="43"/>
      <c r="U186" s="43"/>
      <c r="V186" s="77"/>
      <c r="W186" s="43"/>
      <c r="X186" s="43"/>
      <c r="Y186" s="43"/>
      <c r="Z186" s="43"/>
      <c r="AA186" s="43"/>
      <c r="AB186" s="7"/>
      <c r="AC186" s="88"/>
      <c r="AD186" s="88"/>
      <c r="AE186" s="88"/>
      <c r="AF186" s="88"/>
      <c r="AG186" s="117">
        <v>11</v>
      </c>
    </row>
    <row r="187" spans="1:33" s="117" customFormat="1" ht="11.45" customHeight="1">
      <c r="A187" s="330"/>
      <c r="B187" s="46"/>
      <c r="C187" s="46"/>
      <c r="L187" s="43"/>
      <c r="M187" s="46"/>
      <c r="N187" s="46"/>
      <c r="O187" s="43"/>
      <c r="P187" s="43"/>
      <c r="Q187" s="43"/>
      <c r="R187" s="43"/>
      <c r="S187" s="46"/>
      <c r="T187" s="43"/>
      <c r="U187" s="43"/>
      <c r="V187" s="77"/>
      <c r="W187" s="43"/>
      <c r="X187" s="43"/>
      <c r="Y187" s="43"/>
      <c r="Z187" s="43"/>
      <c r="AA187" s="43"/>
      <c r="AB187" s="7"/>
      <c r="AC187" s="88"/>
      <c r="AD187" s="88"/>
      <c r="AE187" s="88"/>
      <c r="AF187" s="88"/>
      <c r="AG187" s="117">
        <v>11</v>
      </c>
    </row>
    <row r="188" spans="1:33" s="117" customFormat="1" ht="11.45" customHeight="1">
      <c r="A188" s="330"/>
      <c r="B188" s="46"/>
      <c r="C188" s="46"/>
      <c r="L188" s="43"/>
      <c r="M188" s="46"/>
      <c r="N188" s="46"/>
      <c r="O188" s="43"/>
      <c r="P188" s="43"/>
      <c r="Q188" s="43"/>
      <c r="R188" s="43"/>
      <c r="S188" s="46"/>
      <c r="T188" s="43"/>
      <c r="U188" s="43"/>
      <c r="V188" s="77"/>
      <c r="W188" s="43"/>
      <c r="X188" s="43"/>
      <c r="Y188" s="43"/>
      <c r="Z188" s="43"/>
      <c r="AA188" s="43"/>
      <c r="AB188" s="7"/>
      <c r="AC188" s="88"/>
      <c r="AD188" s="88"/>
      <c r="AE188" s="88"/>
      <c r="AF188" s="88"/>
      <c r="AG188" s="117">
        <v>11</v>
      </c>
    </row>
    <row r="189" spans="1:33" s="117" customFormat="1" ht="11.45" customHeight="1">
      <c r="A189" s="330"/>
      <c r="B189" s="46"/>
      <c r="C189" s="46"/>
      <c r="L189" s="43"/>
      <c r="M189" s="46"/>
      <c r="N189" s="46"/>
      <c r="O189" s="43"/>
      <c r="P189" s="43"/>
      <c r="Q189" s="43"/>
      <c r="R189" s="43"/>
      <c r="S189" s="46"/>
      <c r="T189" s="43"/>
      <c r="U189" s="43"/>
      <c r="V189" s="77"/>
      <c r="W189" s="43"/>
      <c r="X189" s="43"/>
      <c r="Y189" s="43"/>
      <c r="Z189" s="43"/>
      <c r="AA189" s="43"/>
      <c r="AB189" s="7"/>
      <c r="AC189" s="88"/>
      <c r="AD189" s="88"/>
      <c r="AE189" s="88"/>
      <c r="AF189" s="88"/>
      <c r="AG189" s="117">
        <v>11</v>
      </c>
    </row>
    <row r="190" spans="1:33" s="117" customFormat="1" ht="11.45" customHeight="1">
      <c r="A190" s="330"/>
      <c r="B190" s="46"/>
      <c r="C190" s="46"/>
      <c r="L190" s="43"/>
      <c r="M190" s="46"/>
      <c r="N190" s="46"/>
      <c r="O190" s="43"/>
      <c r="P190" s="43"/>
      <c r="Q190" s="43"/>
      <c r="R190" s="43"/>
      <c r="S190" s="46"/>
      <c r="T190" s="43"/>
      <c r="U190" s="43"/>
      <c r="V190" s="77"/>
      <c r="W190" s="43"/>
      <c r="X190" s="43"/>
      <c r="Y190" s="43"/>
      <c r="Z190" s="43"/>
      <c r="AA190" s="43"/>
      <c r="AB190" s="7"/>
      <c r="AC190" s="88"/>
      <c r="AD190" s="88"/>
      <c r="AE190" s="88"/>
      <c r="AF190" s="88"/>
      <c r="AG190" s="117">
        <v>11</v>
      </c>
    </row>
    <row r="191" spans="1:33" s="117" customFormat="1" ht="11.45" customHeight="1">
      <c r="A191" s="330"/>
      <c r="B191" s="46"/>
      <c r="C191" s="46"/>
      <c r="L191" s="43"/>
      <c r="M191" s="46"/>
      <c r="N191" s="46"/>
      <c r="O191" s="43"/>
      <c r="P191" s="43"/>
      <c r="Q191" s="43"/>
      <c r="R191" s="43"/>
      <c r="S191" s="46"/>
      <c r="T191" s="43"/>
      <c r="U191" s="43"/>
      <c r="V191" s="77"/>
      <c r="W191" s="43"/>
      <c r="X191" s="43"/>
      <c r="Y191" s="43"/>
      <c r="Z191" s="43"/>
      <c r="AA191" s="43"/>
      <c r="AB191" s="7"/>
      <c r="AC191" s="88"/>
      <c r="AD191" s="88"/>
      <c r="AE191" s="88"/>
      <c r="AF191" s="88"/>
      <c r="AG191" s="117">
        <v>11</v>
      </c>
    </row>
    <row r="192" spans="1:33" s="117" customFormat="1" ht="11.45" customHeight="1">
      <c r="A192" s="330"/>
      <c r="B192" s="46"/>
      <c r="C192" s="46"/>
      <c r="L192" s="43"/>
      <c r="M192" s="46"/>
      <c r="N192" s="46"/>
      <c r="O192" s="43"/>
      <c r="P192" s="43"/>
      <c r="Q192" s="43"/>
      <c r="R192" s="43"/>
      <c r="S192" s="46"/>
      <c r="T192" s="43"/>
      <c r="U192" s="43"/>
      <c r="V192" s="77"/>
      <c r="W192" s="43"/>
      <c r="X192" s="43"/>
      <c r="Y192" s="43"/>
      <c r="Z192" s="43"/>
      <c r="AA192" s="43"/>
      <c r="AB192" s="7"/>
      <c r="AC192" s="88"/>
      <c r="AD192" s="88"/>
      <c r="AE192" s="88"/>
      <c r="AF192" s="88"/>
      <c r="AG192" s="117">
        <v>11</v>
      </c>
    </row>
    <row r="193" spans="1:33" s="117" customFormat="1" ht="11.45" customHeight="1">
      <c r="A193" s="330"/>
      <c r="B193" s="46"/>
      <c r="C193" s="46"/>
      <c r="L193" s="43"/>
      <c r="M193" s="46"/>
      <c r="N193" s="46"/>
      <c r="O193" s="43"/>
      <c r="P193" s="43"/>
      <c r="Q193" s="43"/>
      <c r="R193" s="43"/>
      <c r="S193" s="46"/>
      <c r="T193" s="43"/>
      <c r="U193" s="43"/>
      <c r="V193" s="77"/>
      <c r="W193" s="43"/>
      <c r="X193" s="43"/>
      <c r="Y193" s="43"/>
      <c r="Z193" s="43"/>
      <c r="AA193" s="43"/>
      <c r="AB193" s="7"/>
      <c r="AC193" s="88"/>
      <c r="AD193" s="88"/>
      <c r="AE193" s="88"/>
      <c r="AF193" s="88"/>
      <c r="AG193" s="117">
        <v>11</v>
      </c>
    </row>
    <row r="194" spans="1:33" s="117" customFormat="1" ht="11.45" customHeight="1">
      <c r="A194" s="330"/>
      <c r="B194" s="46"/>
      <c r="C194" s="46"/>
      <c r="L194" s="43"/>
      <c r="M194" s="46"/>
      <c r="N194" s="46"/>
      <c r="O194" s="43"/>
      <c r="P194" s="43"/>
      <c r="Q194" s="43"/>
      <c r="R194" s="43"/>
      <c r="S194" s="46"/>
      <c r="T194" s="43"/>
      <c r="U194" s="43"/>
      <c r="V194" s="77"/>
      <c r="W194" s="43"/>
      <c r="X194" s="43"/>
      <c r="Y194" s="43"/>
      <c r="Z194" s="43"/>
      <c r="AA194" s="43"/>
      <c r="AB194" s="7"/>
      <c r="AC194" s="88"/>
      <c r="AD194" s="88"/>
      <c r="AE194" s="88"/>
      <c r="AF194" s="88"/>
      <c r="AG194" s="117">
        <v>11</v>
      </c>
    </row>
    <row r="195" spans="1:33" s="117" customFormat="1" ht="11.45" customHeight="1">
      <c r="A195" s="330"/>
      <c r="B195" s="46"/>
      <c r="C195" s="46"/>
      <c r="L195" s="43"/>
      <c r="M195" s="46"/>
      <c r="N195" s="46"/>
      <c r="O195" s="43"/>
      <c r="P195" s="43"/>
      <c r="Q195" s="43"/>
      <c r="R195" s="43"/>
      <c r="S195" s="46"/>
      <c r="T195" s="43"/>
      <c r="U195" s="43"/>
      <c r="V195" s="77"/>
      <c r="W195" s="43"/>
      <c r="X195" s="43"/>
      <c r="Y195" s="43"/>
      <c r="Z195" s="43"/>
      <c r="AA195" s="43"/>
      <c r="AB195" s="7"/>
      <c r="AC195" s="88"/>
      <c r="AD195" s="88"/>
      <c r="AE195" s="88"/>
      <c r="AF195" s="88"/>
      <c r="AG195" s="117">
        <v>11</v>
      </c>
    </row>
    <row r="196" spans="1:33" s="117" customFormat="1" ht="11.45" customHeight="1">
      <c r="A196" s="330"/>
      <c r="B196" s="46"/>
      <c r="C196" s="46"/>
      <c r="L196" s="43"/>
      <c r="M196" s="46"/>
      <c r="N196" s="46"/>
      <c r="O196" s="43"/>
      <c r="P196" s="43"/>
      <c r="Q196" s="43"/>
      <c r="R196" s="43"/>
      <c r="S196" s="46"/>
      <c r="T196" s="43"/>
      <c r="U196" s="43"/>
      <c r="V196" s="77"/>
      <c r="W196" s="43"/>
      <c r="X196" s="43"/>
      <c r="Y196" s="43"/>
      <c r="Z196" s="43"/>
      <c r="AA196" s="43"/>
      <c r="AB196" s="7"/>
      <c r="AC196" s="88"/>
      <c r="AD196" s="88"/>
      <c r="AE196" s="88"/>
      <c r="AF196" s="88"/>
      <c r="AG196" s="117">
        <v>11</v>
      </c>
    </row>
    <row r="197" spans="1:33" s="117" customFormat="1" ht="11.45" customHeight="1">
      <c r="A197" s="330"/>
      <c r="B197" s="46"/>
      <c r="C197" s="46"/>
      <c r="L197" s="43"/>
      <c r="M197" s="46"/>
      <c r="N197" s="46"/>
      <c r="O197" s="43"/>
      <c r="P197" s="43"/>
      <c r="Q197" s="43"/>
      <c r="R197" s="43"/>
      <c r="S197" s="46"/>
      <c r="T197" s="43"/>
      <c r="U197" s="43"/>
      <c r="V197" s="77"/>
      <c r="W197" s="43"/>
      <c r="X197" s="43"/>
      <c r="Y197" s="43"/>
      <c r="Z197" s="43"/>
      <c r="AA197" s="43"/>
      <c r="AB197" s="7"/>
      <c r="AC197" s="88"/>
      <c r="AD197" s="88"/>
      <c r="AE197" s="88"/>
      <c r="AF197" s="88"/>
      <c r="AG197" s="117">
        <v>11</v>
      </c>
    </row>
    <row r="198" spans="1:33" s="117" customFormat="1" ht="11.45" customHeight="1">
      <c r="A198" s="330"/>
      <c r="B198" s="46"/>
      <c r="C198" s="46"/>
      <c r="L198" s="43"/>
      <c r="M198" s="46"/>
      <c r="N198" s="46"/>
      <c r="O198" s="43"/>
      <c r="P198" s="43"/>
      <c r="Q198" s="43"/>
      <c r="R198" s="43"/>
      <c r="S198" s="46"/>
      <c r="T198" s="43"/>
      <c r="U198" s="43"/>
      <c r="V198" s="77"/>
      <c r="W198" s="43"/>
      <c r="X198" s="43"/>
      <c r="Y198" s="43"/>
      <c r="Z198" s="43"/>
      <c r="AA198" s="43"/>
      <c r="AB198" s="7"/>
      <c r="AC198" s="88"/>
      <c r="AD198" s="88"/>
      <c r="AE198" s="88"/>
      <c r="AF198" s="88"/>
      <c r="AG198" s="117">
        <v>11</v>
      </c>
    </row>
    <row r="199" spans="1:33" s="117" customFormat="1" ht="11.45" customHeight="1">
      <c r="A199" s="330"/>
      <c r="B199" s="46"/>
      <c r="C199" s="46"/>
      <c r="L199" s="43"/>
      <c r="M199" s="46"/>
      <c r="N199" s="46"/>
      <c r="O199" s="43"/>
      <c r="P199" s="43"/>
      <c r="Q199" s="43"/>
      <c r="R199" s="43"/>
      <c r="S199" s="46"/>
      <c r="T199" s="43"/>
      <c r="U199" s="43"/>
      <c r="V199" s="77"/>
      <c r="W199" s="43"/>
      <c r="X199" s="43"/>
      <c r="Y199" s="43"/>
      <c r="Z199" s="43"/>
      <c r="AA199" s="43"/>
      <c r="AB199" s="7"/>
      <c r="AC199" s="88"/>
      <c r="AD199" s="88"/>
      <c r="AE199" s="88"/>
      <c r="AF199" s="88"/>
      <c r="AG199" s="117">
        <v>11</v>
      </c>
    </row>
    <row r="200" spans="1:33" s="117" customFormat="1" ht="11.45" customHeight="1">
      <c r="A200" s="330"/>
      <c r="B200" s="46"/>
      <c r="C200" s="46"/>
      <c r="L200" s="43"/>
      <c r="M200" s="46"/>
      <c r="N200" s="46"/>
      <c r="O200" s="43"/>
      <c r="P200" s="43"/>
      <c r="Q200" s="43"/>
      <c r="R200" s="43"/>
      <c r="S200" s="46"/>
      <c r="T200" s="43"/>
      <c r="U200" s="43"/>
      <c r="V200" s="77"/>
      <c r="W200" s="43"/>
      <c r="X200" s="43"/>
      <c r="Y200" s="43"/>
      <c r="Z200" s="43"/>
      <c r="AA200" s="43"/>
      <c r="AB200" s="7"/>
      <c r="AC200" s="88"/>
      <c r="AD200" s="88"/>
      <c r="AE200" s="88"/>
      <c r="AF200" s="88"/>
      <c r="AG200" s="117">
        <v>11</v>
      </c>
    </row>
    <row r="201" spans="1:33" s="117" customFormat="1" ht="11.45" customHeight="1">
      <c r="A201" s="330"/>
      <c r="B201" s="46"/>
      <c r="C201" s="46"/>
      <c r="L201" s="43"/>
      <c r="M201" s="46"/>
      <c r="N201" s="46"/>
      <c r="O201" s="43"/>
      <c r="P201" s="43"/>
      <c r="Q201" s="43"/>
      <c r="R201" s="43"/>
      <c r="S201" s="46"/>
      <c r="T201" s="43"/>
      <c r="U201" s="43"/>
      <c r="V201" s="77"/>
      <c r="W201" s="43"/>
      <c r="X201" s="43"/>
      <c r="Y201" s="43"/>
      <c r="Z201" s="43"/>
      <c r="AA201" s="43"/>
      <c r="AB201" s="7"/>
      <c r="AC201" s="88"/>
      <c r="AD201" s="88"/>
      <c r="AE201" s="88"/>
      <c r="AF201" s="88"/>
      <c r="AG201" s="117">
        <v>11</v>
      </c>
    </row>
    <row r="202" spans="1:33" s="117" customFormat="1" ht="11.45" customHeight="1">
      <c r="A202" s="330"/>
      <c r="B202" s="46"/>
      <c r="C202" s="46"/>
      <c r="L202" s="43"/>
      <c r="M202" s="46"/>
      <c r="N202" s="46"/>
      <c r="O202" s="43"/>
      <c r="P202" s="43"/>
      <c r="Q202" s="43"/>
      <c r="R202" s="43"/>
      <c r="S202" s="46"/>
      <c r="T202" s="43"/>
      <c r="U202" s="43"/>
      <c r="V202" s="77"/>
      <c r="W202" s="43"/>
      <c r="X202" s="43"/>
      <c r="Y202" s="43"/>
      <c r="Z202" s="43"/>
      <c r="AA202" s="43"/>
      <c r="AB202" s="7"/>
      <c r="AC202" s="88"/>
      <c r="AD202" s="88"/>
      <c r="AE202" s="88"/>
      <c r="AF202" s="88"/>
      <c r="AG202" s="117">
        <v>11</v>
      </c>
    </row>
    <row r="203" spans="1:33" ht="11.45" customHeight="1">
      <c r="AG203" s="4">
        <v>11</v>
      </c>
    </row>
    <row r="204" spans="1:33" ht="11.45" customHeight="1">
      <c r="AG204" s="4">
        <v>11</v>
      </c>
    </row>
    <row r="205" spans="1:33" ht="11.45" customHeight="1">
      <c r="AG205" s="4">
        <v>11</v>
      </c>
    </row>
    <row r="206" spans="1:33" ht="11.45" customHeight="1">
      <c r="A206" s="255"/>
      <c r="B206" s="4"/>
      <c r="L206" s="4"/>
      <c r="O206" s="4"/>
      <c r="P206" s="4"/>
      <c r="Q206" s="4"/>
      <c r="R206" s="4"/>
      <c r="T206" s="4"/>
      <c r="U206" s="4"/>
      <c r="V206" s="4"/>
      <c r="W206" s="4"/>
      <c r="X206" s="4"/>
      <c r="Y206" s="4"/>
      <c r="Z206" s="4"/>
      <c r="AA206" s="4"/>
      <c r="AB206" s="4"/>
      <c r="AC206" s="4"/>
      <c r="AD206" s="4"/>
      <c r="AE206" s="4"/>
      <c r="AF206" s="4"/>
      <c r="AG206" s="4">
        <v>11</v>
      </c>
    </row>
    <row r="207" spans="1:33" ht="11.45" customHeight="1">
      <c r="A207" s="255"/>
      <c r="B207" s="4"/>
      <c r="L207" s="4"/>
      <c r="O207" s="4"/>
      <c r="P207" s="4"/>
      <c r="Q207" s="4"/>
      <c r="R207" s="4"/>
      <c r="T207" s="4"/>
      <c r="U207" s="4"/>
      <c r="V207" s="4"/>
      <c r="W207" s="4"/>
      <c r="X207" s="4"/>
      <c r="Y207" s="4"/>
      <c r="Z207" s="4"/>
      <c r="AA207" s="4"/>
      <c r="AB207" s="4"/>
      <c r="AC207" s="4"/>
      <c r="AD207" s="4"/>
      <c r="AE207" s="4"/>
      <c r="AF207" s="4"/>
      <c r="AG207" s="4">
        <v>11</v>
      </c>
    </row>
    <row r="208" spans="1:33" ht="11.45" customHeight="1">
      <c r="A208" s="255"/>
      <c r="B208" s="4"/>
      <c r="L208" s="4"/>
      <c r="O208" s="4"/>
      <c r="P208" s="4"/>
      <c r="Q208" s="4"/>
      <c r="R208" s="4"/>
      <c r="T208" s="4"/>
      <c r="U208" s="4"/>
      <c r="V208" s="4"/>
      <c r="W208" s="4"/>
      <c r="X208" s="4"/>
      <c r="Y208" s="4"/>
      <c r="Z208" s="4"/>
      <c r="AA208" s="4"/>
      <c r="AB208" s="4"/>
      <c r="AC208" s="4"/>
      <c r="AD208" s="4"/>
      <c r="AE208" s="4"/>
      <c r="AF208" s="4"/>
      <c r="AG208" s="4">
        <v>11</v>
      </c>
    </row>
    <row r="209" spans="1:33" ht="11.45" customHeight="1">
      <c r="A209" s="255"/>
      <c r="B209" s="4"/>
      <c r="L209" s="4"/>
      <c r="O209" s="4"/>
      <c r="P209" s="4"/>
      <c r="Q209" s="4"/>
      <c r="R209" s="4"/>
      <c r="T209" s="4"/>
      <c r="U209" s="4"/>
      <c r="V209" s="4"/>
      <c r="W209" s="4"/>
      <c r="X209" s="4"/>
      <c r="Y209" s="4"/>
      <c r="Z209" s="4"/>
      <c r="AA209" s="4"/>
      <c r="AB209" s="4"/>
      <c r="AC209" s="4"/>
      <c r="AD209" s="4"/>
      <c r="AE209" s="4"/>
      <c r="AF209" s="4"/>
      <c r="AG209" s="4">
        <v>11</v>
      </c>
    </row>
    <row r="210" spans="1:33" ht="11.45" customHeight="1">
      <c r="A210" s="255"/>
      <c r="B210" s="4"/>
      <c r="L210" s="4"/>
      <c r="O210" s="4"/>
      <c r="P210" s="4"/>
      <c r="Q210" s="4"/>
      <c r="R210" s="4"/>
      <c r="T210" s="4"/>
      <c r="U210" s="4"/>
      <c r="V210" s="4"/>
      <c r="W210" s="4"/>
      <c r="X210" s="4"/>
      <c r="Y210" s="4"/>
      <c r="Z210" s="4"/>
      <c r="AA210" s="4"/>
      <c r="AB210" s="4"/>
      <c r="AC210" s="4"/>
      <c r="AD210" s="4"/>
      <c r="AE210" s="4"/>
      <c r="AF210" s="4"/>
      <c r="AG210" s="4">
        <v>11</v>
      </c>
    </row>
    <row r="211" spans="1:33" ht="11.45" customHeight="1">
      <c r="A211" s="255"/>
      <c r="B211" s="4"/>
      <c r="L211" s="4"/>
      <c r="O211" s="4"/>
      <c r="P211" s="4"/>
      <c r="Q211" s="4"/>
      <c r="R211" s="4"/>
      <c r="T211" s="4"/>
      <c r="U211" s="4"/>
      <c r="V211" s="4"/>
      <c r="W211" s="4"/>
      <c r="X211" s="4"/>
      <c r="Y211" s="4"/>
      <c r="Z211" s="4"/>
      <c r="AA211" s="4"/>
      <c r="AB211" s="4"/>
      <c r="AC211" s="4"/>
      <c r="AD211" s="4"/>
      <c r="AE211" s="4"/>
      <c r="AF211" s="4"/>
      <c r="AG211" s="4">
        <v>11</v>
      </c>
    </row>
    <row r="212" spans="1:33" ht="11.45" customHeight="1">
      <c r="A212" s="255"/>
      <c r="B212" s="4"/>
      <c r="L212" s="4"/>
      <c r="O212" s="4"/>
      <c r="P212" s="4"/>
      <c r="Q212" s="4"/>
      <c r="R212" s="4"/>
      <c r="T212" s="4"/>
      <c r="U212" s="4"/>
      <c r="V212" s="4"/>
      <c r="W212" s="4"/>
      <c r="X212" s="4"/>
      <c r="Y212" s="4"/>
      <c r="Z212" s="4"/>
      <c r="AA212" s="4"/>
      <c r="AB212" s="4"/>
      <c r="AC212" s="4"/>
      <c r="AD212" s="4"/>
      <c r="AE212" s="4"/>
      <c r="AF212" s="4"/>
      <c r="AG212" s="4">
        <v>11</v>
      </c>
    </row>
    <row r="213" spans="1:33" ht="11.45" customHeight="1">
      <c r="A213" s="255"/>
      <c r="B213" s="4"/>
      <c r="L213" s="4"/>
      <c r="O213" s="4"/>
      <c r="P213" s="4"/>
      <c r="Q213" s="4"/>
      <c r="R213" s="4"/>
      <c r="T213" s="4"/>
      <c r="U213" s="4"/>
      <c r="V213" s="4"/>
      <c r="W213" s="4"/>
      <c r="X213" s="4"/>
      <c r="Y213" s="4"/>
      <c r="Z213" s="4"/>
      <c r="AA213" s="4"/>
      <c r="AB213" s="4"/>
      <c r="AC213" s="4"/>
      <c r="AD213" s="4"/>
      <c r="AE213" s="4"/>
      <c r="AF213" s="4"/>
      <c r="AG213" s="4">
        <v>11</v>
      </c>
    </row>
    <row r="214" spans="1:33" ht="11.45" customHeight="1">
      <c r="A214" s="255"/>
      <c r="B214" s="4"/>
      <c r="L214" s="4"/>
      <c r="O214" s="4"/>
      <c r="P214" s="4"/>
      <c r="Q214" s="4"/>
      <c r="R214" s="4"/>
      <c r="T214" s="4"/>
      <c r="U214" s="4"/>
      <c r="V214" s="4"/>
      <c r="W214" s="4"/>
      <c r="X214" s="4"/>
      <c r="Y214" s="4"/>
      <c r="Z214" s="4"/>
      <c r="AA214" s="4"/>
      <c r="AB214" s="4"/>
      <c r="AC214" s="4"/>
      <c r="AD214" s="4"/>
      <c r="AE214" s="4"/>
      <c r="AF214" s="4"/>
      <c r="AG214" s="4">
        <v>11</v>
      </c>
    </row>
    <row r="215" spans="1:33" ht="11.45" customHeight="1">
      <c r="A215" s="255"/>
      <c r="B215" s="4"/>
      <c r="L215" s="4"/>
      <c r="O215" s="4"/>
      <c r="P215" s="4"/>
      <c r="Q215" s="4"/>
      <c r="R215" s="4"/>
      <c r="T215" s="4"/>
      <c r="U215" s="4"/>
      <c r="V215" s="4"/>
      <c r="W215" s="4"/>
      <c r="X215" s="4"/>
      <c r="Y215" s="4"/>
      <c r="Z215" s="4"/>
      <c r="AA215" s="4"/>
      <c r="AB215" s="4"/>
      <c r="AC215" s="4"/>
      <c r="AD215" s="4"/>
      <c r="AE215" s="4"/>
      <c r="AF215" s="4"/>
      <c r="AG215" s="4">
        <v>11</v>
      </c>
    </row>
    <row r="216" spans="1:33" ht="11.45" customHeight="1">
      <c r="A216" s="255"/>
      <c r="B216" s="4"/>
      <c r="L216" s="4"/>
      <c r="O216" s="4"/>
      <c r="P216" s="4"/>
      <c r="Q216" s="4"/>
      <c r="R216" s="4"/>
      <c r="T216" s="4"/>
      <c r="U216" s="4"/>
      <c r="V216" s="4"/>
      <c r="W216" s="4"/>
      <c r="X216" s="4"/>
      <c r="Y216" s="4"/>
      <c r="Z216" s="4"/>
      <c r="AA216" s="4"/>
      <c r="AB216" s="4"/>
      <c r="AC216" s="4"/>
      <c r="AD216" s="4"/>
      <c r="AE216" s="4"/>
      <c r="AF216" s="4"/>
      <c r="AG216" s="4">
        <v>11</v>
      </c>
    </row>
    <row r="217" spans="1:33" ht="11.25" hidden="1" customHeight="1">
      <c r="A217" s="330" t="s">
        <v>82</v>
      </c>
      <c r="B217" s="43">
        <v>0</v>
      </c>
      <c r="C217" s="46">
        <v>0</v>
      </c>
      <c r="D217" s="4">
        <v>3</v>
      </c>
      <c r="E217" s="4">
        <v>7</v>
      </c>
      <c r="F217" s="4">
        <v>56</v>
      </c>
      <c r="G217" s="4">
        <v>10</v>
      </c>
      <c r="H217" s="4">
        <v>0</v>
      </c>
      <c r="I217" s="4">
        <v>40</v>
      </c>
      <c r="J217" s="4">
        <v>0</v>
      </c>
      <c r="K217" s="4">
        <v>102</v>
      </c>
      <c r="L217" s="43">
        <v>9</v>
      </c>
      <c r="M217" s="46">
        <v>5</v>
      </c>
      <c r="N217" s="46">
        <v>3</v>
      </c>
      <c r="O217" s="43">
        <v>3</v>
      </c>
      <c r="P217" s="43">
        <v>3</v>
      </c>
      <c r="Q217" s="43">
        <v>3</v>
      </c>
      <c r="R217" s="43">
        <v>3</v>
      </c>
      <c r="S217" s="46">
        <v>10</v>
      </c>
      <c r="T217" s="43">
        <v>34</v>
      </c>
      <c r="U217" s="43">
        <v>9</v>
      </c>
      <c r="V217" s="77">
        <v>8</v>
      </c>
      <c r="W217" s="43">
        <v>8</v>
      </c>
      <c r="X217" s="43">
        <v>8</v>
      </c>
      <c r="Y217" s="43">
        <v>8</v>
      </c>
      <c r="Z217" s="43">
        <v>8</v>
      </c>
      <c r="AA217" s="43">
        <v>8</v>
      </c>
      <c r="AB217" s="7">
        <v>8</v>
      </c>
      <c r="AC217" s="7">
        <v>8</v>
      </c>
      <c r="AD217" s="7">
        <v>8</v>
      </c>
      <c r="AE217" s="7">
        <v>8</v>
      </c>
      <c r="AF217" s="7">
        <v>8</v>
      </c>
      <c r="AG217" s="4">
        <v>11</v>
      </c>
    </row>
  </sheetData>
  <sheetProtection formatColumns="0" formatRows="0" insertRows="0" deleteColumns="0" deleteRows="0" sort="0" autoFilter="0"/>
  <mergeCells count="7">
    <mergeCell ref="E6:I6"/>
    <mergeCell ref="E7:I7"/>
    <mergeCell ref="F10:G10"/>
    <mergeCell ref="K10:K14"/>
    <mergeCell ref="F11:G11"/>
    <mergeCell ref="F12:G12"/>
    <mergeCell ref="E13:G13"/>
  </mergeCells>
  <dataValidations count="5">
    <dataValidation type="decimal" allowBlank="1" showErrorMessage="1" errorTitle="Ошибка" error="Допускается ввод только действительных чисел!" sqref="H40:J42" xr:uid="{00000000-0002-0000-2400-000000000000}">
      <formula1>-9.99999999999999E+37</formula1>
      <formula2>9.99999999999999E+37</formula2>
    </dataValidation>
    <dataValidation type="decimal" allowBlank="1" showErrorMessage="1" errorTitle="Ошибка" error="Допускается ввод только действительных чисел!" sqref="H36:J37" xr:uid="{00000000-0002-0000-2400-000001000000}">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43:J43" xr:uid="{00000000-0002-0000-2400-000002000000}">
      <formula1>900</formula1>
    </dataValidation>
    <dataValidation type="decimal" allowBlank="1" showErrorMessage="1" errorTitle="Ошибка" error="Допускается ввод только неотрицательных чисел!" sqref="H38:J39 H2:J2 H15:J15 H17:J32 H35:J35 H44:J46" xr:uid="{00000000-0002-0000-2400-000003000000}">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J33" xr:uid="{00000000-0002-0000-2400-000004000000}">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E745A2-2B2E-5F91-36FC-9C3EF018CBA4}">
  <sheetPr>
    <tabColor theme="9" tint="-0.249977111117893"/>
  </sheetPr>
  <dimension ref="A1:AG210"/>
  <sheetViews>
    <sheetView showGridLines="0" zoomScale="90" workbookViewId="0">
      <pane xSplit="8" ySplit="14" topLeftCell="J15" activePane="bottomRight" state="frozen"/>
      <selection pane="topRight" activeCell="I1" sqref="I1"/>
      <selection pane="bottomLeft" activeCell="A15" sqref="A15"/>
      <selection pane="bottomRight" activeCell="J9" sqref="J9"/>
    </sheetView>
  </sheetViews>
  <sheetFormatPr defaultColWidth="9.140625" defaultRowHeight="11.25" customHeight="1"/>
  <cols>
    <col min="1" max="1" width="10.7109375" style="330" hidden="1" customWidth="1"/>
    <col min="2" max="2" width="16.85546875" style="43" hidden="1" customWidth="1"/>
    <col min="3" max="3" width="5.5703125" style="46" hidden="1" customWidth="1"/>
    <col min="4" max="4" width="3" style="4" customWidth="1"/>
    <col min="5" max="5" width="7" style="4" customWidth="1"/>
    <col min="6" max="6" width="54" style="4" customWidth="1"/>
    <col min="7" max="7" width="10" style="4" customWidth="1"/>
    <col min="8" max="8" width="40.7109375" style="4" hidden="1" customWidth="1"/>
    <col min="9" max="9" width="40" style="4" customWidth="1"/>
    <col min="10" max="10" width="40.7109375" style="4" customWidth="1"/>
    <col min="11" max="11" width="102" style="4" customWidth="1"/>
    <col min="12" max="12" width="9" style="43" customWidth="1"/>
    <col min="13" max="13" width="5" style="46" customWidth="1"/>
    <col min="14" max="14" width="3" style="46" customWidth="1"/>
    <col min="15" max="18" width="3" style="43" customWidth="1"/>
    <col min="19" max="19" width="10" style="46" customWidth="1"/>
    <col min="20" max="20" width="34" style="43" customWidth="1"/>
    <col min="21" max="21" width="9" style="43" customWidth="1"/>
    <col min="22" max="22" width="8" style="77" customWidth="1"/>
    <col min="23" max="27" width="8" style="43" customWidth="1"/>
    <col min="28" max="32" width="8" style="7" customWidth="1"/>
    <col min="33" max="33" width="9.140625" style="4" hidden="1"/>
  </cols>
  <sheetData>
    <row r="1" spans="1:33" s="43" customFormat="1" ht="22.5" hidden="1" customHeight="1">
      <c r="A1" s="330"/>
      <c r="C1" s="46"/>
      <c r="H1" s="43">
        <v>4</v>
      </c>
      <c r="I1" s="43">
        <v>4</v>
      </c>
      <c r="J1" s="43">
        <v>4</v>
      </c>
      <c r="M1" s="46"/>
      <c r="N1" s="46"/>
      <c r="S1" s="46"/>
      <c r="AG1" s="43" t="s">
        <v>14</v>
      </c>
    </row>
    <row r="2" spans="1:33" s="43" customFormat="1" ht="22.5" hidden="1" customHeight="1">
      <c r="A2" s="330"/>
      <c r="C2" s="46"/>
      <c r="D2" s="23"/>
      <c r="E2" s="29"/>
      <c r="F2" s="74"/>
      <c r="G2" s="29" t="s">
        <v>555</v>
      </c>
      <c r="H2" s="168"/>
      <c r="I2" s="168"/>
      <c r="J2" s="168"/>
      <c r="K2" s="169" t="s">
        <v>558</v>
      </c>
      <c r="L2" s="170"/>
      <c r="M2" s="46"/>
      <c r="N2" s="46"/>
      <c r="S2" s="46"/>
      <c r="V2" s="77"/>
      <c r="AB2" s="7"/>
      <c r="AC2" s="7"/>
      <c r="AD2" s="7"/>
      <c r="AE2" s="7"/>
      <c r="AF2" s="7"/>
      <c r="AG2" s="43">
        <v>0</v>
      </c>
    </row>
    <row r="3" spans="1:33" ht="11.25" hidden="1" customHeight="1">
      <c r="AG3" s="4">
        <v>0</v>
      </c>
    </row>
    <row r="4" spans="1:33" s="7" customFormat="1" ht="11.25" hidden="1" customHeight="1">
      <c r="A4" s="330"/>
      <c r="B4" s="43"/>
      <c r="C4" s="46"/>
      <c r="K4" s="7">
        <v>4</v>
      </c>
      <c r="L4" s="43"/>
      <c r="M4" s="46"/>
      <c r="N4" s="46"/>
      <c r="O4" s="43"/>
      <c r="P4" s="43"/>
      <c r="Q4" s="43"/>
      <c r="R4" s="43"/>
      <c r="S4" s="46"/>
      <c r="T4" s="43"/>
      <c r="U4" s="43"/>
      <c r="V4" s="77"/>
      <c r="W4" s="43"/>
      <c r="X4" s="43"/>
      <c r="Y4" s="43"/>
      <c r="Z4" s="43"/>
      <c r="AA4" s="43"/>
      <c r="AG4" s="7">
        <v>0</v>
      </c>
    </row>
    <row r="5" spans="1:33" ht="11.45" customHeight="1">
      <c r="AG5" s="4">
        <v>11</v>
      </c>
    </row>
    <row r="6" spans="1:33" ht="33.75" customHeight="1">
      <c r="E6" s="697" t="s">
        <v>778</v>
      </c>
      <c r="F6" s="697"/>
      <c r="G6" s="697"/>
      <c r="H6" s="697"/>
      <c r="I6" s="697"/>
      <c r="J6" s="128"/>
      <c r="K6" s="40"/>
      <c r="AG6" s="4">
        <v>32</v>
      </c>
    </row>
    <row r="7" spans="1:33" ht="25.15" customHeight="1">
      <c r="E7" s="712" t="str">
        <f>IF(org=0,"Не определено",org)</f>
        <v>ООО "Восточная Тепловая компания"</v>
      </c>
      <c r="F7" s="712"/>
      <c r="G7" s="712"/>
      <c r="H7" s="712"/>
      <c r="I7" s="712"/>
      <c r="J7" s="358"/>
      <c r="AG7" s="4">
        <v>24</v>
      </c>
    </row>
    <row r="8" spans="1:33" ht="11.45" customHeight="1">
      <c r="J8" s="4" t="s">
        <v>22</v>
      </c>
      <c r="AG8" s="4">
        <v>11</v>
      </c>
    </row>
    <row r="9" spans="1:33" s="46" customFormat="1" ht="1.1499999999999999" customHeight="1">
      <c r="A9" s="160"/>
      <c r="H9" s="297"/>
      <c r="I9" s="297" t="s">
        <v>118</v>
      </c>
      <c r="J9" s="297" t="s">
        <v>124</v>
      </c>
      <c r="AG9" s="46">
        <v>1</v>
      </c>
    </row>
    <row r="10" spans="1:33" ht="11.45" customHeight="1">
      <c r="E10" s="217"/>
      <c r="F10" s="666" t="s">
        <v>106</v>
      </c>
      <c r="G10" s="661"/>
      <c r="H10" s="270" t="str">
        <f>IF(H9="","",INDEX(DIFFERENTIATION_UNMERGE_VD,MATCH(H9,DIFFERENTIATION_ID_DIFF,0)))</f>
        <v/>
      </c>
      <c r="I10" s="270" t="str">
        <f>IF(I9="","",INDEX(DIFFERENTIATION_UNMERGE_VD,MATCH(I9,DIFFERENTIATION_ID_DIFF,0)))</f>
        <v>Производство тепловой энергии. Некомбинированная выработка; Передача. Тепловая энергия; Сбыт. Тепловая энергия</v>
      </c>
      <c r="J10" s="270" t="str">
        <f>IF(J9="","",INDEX(DIFFERENTIATION_UNMERGE_VD,MATCH(J9,DIFFERENTIATION_ID_DIFF,0)))</f>
        <v>Производство. Теплоноситель; Передача. Теплоноситель; Сбыт. Теплоноситель</v>
      </c>
      <c r="K10" s="679"/>
      <c r="AG10" s="4">
        <v>11</v>
      </c>
    </row>
    <row r="11" spans="1:33" ht="11.45" customHeight="1">
      <c r="E11" s="217"/>
      <c r="F11" s="666" t="s">
        <v>567</v>
      </c>
      <c r="G11" s="661"/>
      <c r="H11" s="270" t="str">
        <f>IF(H9="","",INDEX(DIFFERENTIATION_UNMERGE_AREA,MATCH(H9,DIFFERENTIATION_ID_DIFF,0)))</f>
        <v/>
      </c>
      <c r="I11" s="270" t="str">
        <f>IF(I9="","",INDEX(DIFFERENTIATION_UNMERGE_AREA,MATCH(I9,DIFFERENTIATION_ID_DIFF,0)))</f>
        <v>Территория 1</v>
      </c>
      <c r="J11" s="270" t="str">
        <f>IF(J9="","",INDEX(DIFFERENTIATION_UNMERGE_AREA,MATCH(J9,DIFFERENTIATION_ID_DIFF,0)))</f>
        <v/>
      </c>
      <c r="K11" s="679"/>
      <c r="AG11" s="4">
        <v>11</v>
      </c>
    </row>
    <row r="12" spans="1:33" ht="11.25" hidden="1" customHeight="1">
      <c r="E12" s="472"/>
      <c r="F12" s="769" t="s">
        <v>568</v>
      </c>
      <c r="G12" s="770"/>
      <c r="H12" s="472" t="str">
        <f>IF(H9="","",INDEX(DIFFERENTIATION_UNMERGE_SYSTEM,MATCH(H9,DIFFERENTIATION_ID_DIFF,0)))</f>
        <v/>
      </c>
      <c r="I12" s="472" t="str">
        <f>IF(I9="","",INDEX(DIFFERENTIATION_UNMERGE_SYSTEM,MATCH(I9,DIFFERENTIATION_ID_DIFF,0)))</f>
        <v>д. Кисловка</v>
      </c>
      <c r="J12" s="472" t="str">
        <f>IF(J9="","",INDEX(DIFFERENTIATION_UNMERGE_SYSTEM,MATCH(J9,DIFFERENTIATION_ID_DIFF,0)))</f>
        <v>д. Кисловка</v>
      </c>
      <c r="K12" s="679"/>
      <c r="AG12" s="4">
        <v>0</v>
      </c>
    </row>
    <row r="13" spans="1:33" ht="11.45" customHeight="1">
      <c r="E13" s="662" t="s">
        <v>303</v>
      </c>
      <c r="F13" s="666"/>
      <c r="G13" s="666"/>
      <c r="H13" s="223"/>
      <c r="I13" s="223"/>
      <c r="J13" s="223"/>
      <c r="K13" s="679"/>
      <c r="AG13" s="4">
        <v>11</v>
      </c>
    </row>
    <row r="14" spans="1:33" ht="24" customHeight="1">
      <c r="E14" s="29" t="s">
        <v>88</v>
      </c>
      <c r="F14" s="29" t="s">
        <v>305</v>
      </c>
      <c r="G14" s="29" t="s">
        <v>569</v>
      </c>
      <c r="H14" s="29" t="s">
        <v>306</v>
      </c>
      <c r="I14" s="29" t="s">
        <v>306</v>
      </c>
      <c r="J14" s="29" t="s">
        <v>306</v>
      </c>
      <c r="K14" s="679"/>
      <c r="AG14" s="4">
        <v>23</v>
      </c>
    </row>
    <row r="15" spans="1:33" ht="19.899999999999999" customHeight="1">
      <c r="D15" s="23"/>
      <c r="E15" s="514" t="s">
        <v>110</v>
      </c>
      <c r="F15" s="29" t="s">
        <v>779</v>
      </c>
      <c r="G15" s="29" t="s">
        <v>555</v>
      </c>
      <c r="H15" s="176"/>
      <c r="I15" s="176"/>
      <c r="J15" s="176"/>
      <c r="K15" s="29" t="s">
        <v>780</v>
      </c>
      <c r="L15" s="170" t="s">
        <v>634</v>
      </c>
      <c r="AG15" s="4">
        <v>19</v>
      </c>
    </row>
    <row r="16" spans="1:33" ht="24" customHeight="1">
      <c r="D16" s="23"/>
      <c r="E16" s="514" t="s">
        <v>111</v>
      </c>
      <c r="F16" s="100" t="s">
        <v>781</v>
      </c>
      <c r="G16" s="29" t="s">
        <v>555</v>
      </c>
      <c r="H16" s="177">
        <f>SUM(H17,H20:H27)</f>
        <v>0</v>
      </c>
      <c r="I16" s="177">
        <f>SUM(I17,I20:I27)</f>
        <v>0</v>
      </c>
      <c r="J16" s="177">
        <f>SUM(J17,J20:J27)</f>
        <v>0</v>
      </c>
      <c r="K16" s="29" t="s">
        <v>782</v>
      </c>
      <c r="L16" s="170" t="s">
        <v>634</v>
      </c>
      <c r="AG16" s="4">
        <v>23</v>
      </c>
    </row>
    <row r="17" spans="1:33" ht="35.65" customHeight="1">
      <c r="D17" s="23"/>
      <c r="E17" s="515" t="s">
        <v>712</v>
      </c>
      <c r="F17" s="49" t="s">
        <v>783</v>
      </c>
      <c r="G17" s="169" t="s">
        <v>555</v>
      </c>
      <c r="H17" s="176"/>
      <c r="I17" s="176"/>
      <c r="J17" s="176"/>
      <c r="K17" s="29" t="s">
        <v>784</v>
      </c>
      <c r="L17" s="170"/>
      <c r="AG17" s="4">
        <v>34</v>
      </c>
    </row>
    <row r="18" spans="1:33" ht="19.899999999999999" customHeight="1">
      <c r="D18" s="23"/>
      <c r="E18" s="515" t="s">
        <v>715</v>
      </c>
      <c r="F18" s="49" t="s">
        <v>785</v>
      </c>
      <c r="G18" s="169" t="s">
        <v>555</v>
      </c>
      <c r="H18" s="176"/>
      <c r="I18" s="176"/>
      <c r="J18" s="176"/>
      <c r="K18" s="29"/>
      <c r="L18" s="170"/>
      <c r="AG18" s="4">
        <v>19</v>
      </c>
    </row>
    <row r="19" spans="1:33" ht="24" customHeight="1">
      <c r="D19" s="23"/>
      <c r="E19" s="515" t="s">
        <v>718</v>
      </c>
      <c r="F19" s="49" t="s">
        <v>786</v>
      </c>
      <c r="G19" s="169" t="s">
        <v>555</v>
      </c>
      <c r="H19" s="176"/>
      <c r="I19" s="176"/>
      <c r="J19" s="176"/>
      <c r="K19" s="29"/>
      <c r="L19" s="170"/>
      <c r="AG19" s="4">
        <v>23</v>
      </c>
    </row>
    <row r="20" spans="1:33" ht="35.65" customHeight="1">
      <c r="D20" s="23"/>
      <c r="E20" s="515" t="s">
        <v>310</v>
      </c>
      <c r="F20" s="49" t="s">
        <v>787</v>
      </c>
      <c r="G20" s="169" t="s">
        <v>555</v>
      </c>
      <c r="H20" s="176"/>
      <c r="I20" s="176"/>
      <c r="J20" s="176"/>
      <c r="K20" s="29"/>
      <c r="L20" s="170"/>
      <c r="AG20" s="4">
        <v>34</v>
      </c>
    </row>
    <row r="21" spans="1:33" ht="48.2" customHeight="1">
      <c r="D21" s="23"/>
      <c r="E21" s="515" t="s">
        <v>313</v>
      </c>
      <c r="F21" s="49" t="s">
        <v>788</v>
      </c>
      <c r="G21" s="169" t="s">
        <v>555</v>
      </c>
      <c r="H21" s="176"/>
      <c r="I21" s="176"/>
      <c r="J21" s="176"/>
      <c r="K21" s="29"/>
      <c r="L21" s="170"/>
      <c r="AG21" s="4">
        <v>46</v>
      </c>
    </row>
    <row r="22" spans="1:33" ht="60" customHeight="1">
      <c r="D22" s="23"/>
      <c r="E22" s="515" t="s">
        <v>732</v>
      </c>
      <c r="F22" s="49" t="s">
        <v>789</v>
      </c>
      <c r="G22" s="169" t="s">
        <v>555</v>
      </c>
      <c r="H22" s="176"/>
      <c r="I22" s="176"/>
      <c r="J22" s="176"/>
      <c r="K22" s="29"/>
      <c r="L22" s="170"/>
      <c r="AG22" s="4">
        <v>57</v>
      </c>
    </row>
    <row r="23" spans="1:33" ht="35.65" customHeight="1">
      <c r="D23" s="23"/>
      <c r="E23" s="515" t="s">
        <v>739</v>
      </c>
      <c r="F23" s="49" t="s">
        <v>790</v>
      </c>
      <c r="G23" s="169" t="s">
        <v>555</v>
      </c>
      <c r="H23" s="176"/>
      <c r="I23" s="176"/>
      <c r="J23" s="176"/>
      <c r="K23" s="29"/>
      <c r="L23" s="170"/>
      <c r="AG23" s="4">
        <v>34</v>
      </c>
    </row>
    <row r="24" spans="1:33" ht="35.65" customHeight="1">
      <c r="D24" s="23"/>
      <c r="E24" s="515" t="s">
        <v>741</v>
      </c>
      <c r="F24" s="49" t="s">
        <v>791</v>
      </c>
      <c r="G24" s="169" t="s">
        <v>555</v>
      </c>
      <c r="H24" s="176"/>
      <c r="I24" s="176"/>
      <c r="J24" s="176"/>
      <c r="K24" s="29"/>
      <c r="L24" s="170"/>
      <c r="AG24" s="4">
        <v>34</v>
      </c>
    </row>
    <row r="25" spans="1:33" ht="24" customHeight="1">
      <c r="D25" s="23"/>
      <c r="E25" s="515" t="s">
        <v>743</v>
      </c>
      <c r="F25" s="49" t="s">
        <v>792</v>
      </c>
      <c r="G25" s="169" t="s">
        <v>555</v>
      </c>
      <c r="H25" s="176"/>
      <c r="I25" s="176"/>
      <c r="J25" s="176"/>
      <c r="K25" s="29"/>
      <c r="L25" s="170"/>
      <c r="AG25" s="4">
        <v>23</v>
      </c>
    </row>
    <row r="26" spans="1:33" ht="76.5" customHeight="1">
      <c r="D26" s="23"/>
      <c r="E26" s="515" t="s">
        <v>745</v>
      </c>
      <c r="F26" s="49" t="s">
        <v>793</v>
      </c>
      <c r="G26" s="169" t="s">
        <v>555</v>
      </c>
      <c r="H26" s="176"/>
      <c r="I26" s="176"/>
      <c r="J26" s="176"/>
      <c r="K26" s="29"/>
      <c r="L26" s="170"/>
      <c r="AG26" s="4">
        <v>73</v>
      </c>
    </row>
    <row r="27" spans="1:33" s="43" customFormat="1" ht="35.65" customHeight="1">
      <c r="A27" s="330"/>
      <c r="C27" s="46"/>
      <c r="D27" s="23"/>
      <c r="E27" s="513" t="s">
        <v>749</v>
      </c>
      <c r="F27" s="100" t="s">
        <v>794</v>
      </c>
      <c r="G27" s="100" t="s">
        <v>555</v>
      </c>
      <c r="H27" s="190">
        <f>SUM(H28:H29)</f>
        <v>0</v>
      </c>
      <c r="I27" s="190">
        <f>SUM(I28:I29)</f>
        <v>0</v>
      </c>
      <c r="J27" s="190">
        <f>SUM(J28:J29)</f>
        <v>0</v>
      </c>
      <c r="K27" s="29" t="s">
        <v>747</v>
      </c>
      <c r="L27" s="170"/>
      <c r="M27" s="46"/>
      <c r="N27" s="46"/>
      <c r="S27" s="46"/>
      <c r="V27" s="77"/>
      <c r="AB27" s="7"/>
      <c r="AC27" s="7"/>
      <c r="AD27" s="7"/>
      <c r="AE27" s="7"/>
      <c r="AF27" s="7"/>
      <c r="AG27" s="43">
        <v>34</v>
      </c>
    </row>
    <row r="28" spans="1:33" s="46" customFormat="1" ht="1.1499999999999999" customHeight="1">
      <c r="A28" s="160"/>
      <c r="D28" s="160"/>
      <c r="E28" s="174" t="str">
        <f>E27&amp;".0"</f>
        <v>2.9.0</v>
      </c>
      <c r="F28" s="174"/>
      <c r="G28" s="174"/>
      <c r="H28" s="332"/>
      <c r="I28" s="332"/>
      <c r="J28" s="332"/>
      <c r="K28" s="333"/>
      <c r="AG28" s="46">
        <v>1</v>
      </c>
    </row>
    <row r="29" spans="1:33" s="43" customFormat="1" ht="19.899999999999999" customHeight="1">
      <c r="A29" s="330"/>
      <c r="C29" s="46"/>
      <c r="D29" s="16"/>
      <c r="E29" s="184"/>
      <c r="F29" s="325" t="s">
        <v>580</v>
      </c>
      <c r="G29" s="185"/>
      <c r="H29" s="186"/>
      <c r="I29" s="186"/>
      <c r="J29" s="186"/>
      <c r="K29" s="100" t="s">
        <v>748</v>
      </c>
      <c r="L29" s="170"/>
      <c r="M29" s="46"/>
      <c r="N29" s="46"/>
      <c r="S29" s="46"/>
      <c r="V29" s="77"/>
      <c r="AB29" s="7"/>
      <c r="AC29" s="7"/>
      <c r="AD29" s="7"/>
      <c r="AE29" s="7"/>
      <c r="AF29" s="7"/>
      <c r="AG29" s="43">
        <v>19</v>
      </c>
    </row>
    <row r="30" spans="1:33" s="43" customFormat="1" ht="24" customHeight="1">
      <c r="A30" s="330"/>
      <c r="C30" s="46"/>
      <c r="D30" s="23"/>
      <c r="E30" s="515" t="s">
        <v>90</v>
      </c>
      <c r="F30" s="49" t="s">
        <v>795</v>
      </c>
      <c r="G30" s="169" t="s">
        <v>555</v>
      </c>
      <c r="H30" s="176"/>
      <c r="I30" s="176"/>
      <c r="J30" s="176"/>
      <c r="K30" s="29"/>
      <c r="L30" s="170"/>
      <c r="M30" s="46"/>
      <c r="N30" s="46"/>
      <c r="S30" s="46"/>
      <c r="V30" s="77"/>
      <c r="AB30" s="7"/>
      <c r="AC30" s="7"/>
      <c r="AD30" s="7"/>
      <c r="AE30" s="7"/>
      <c r="AF30" s="7"/>
      <c r="AG30" s="43">
        <v>23</v>
      </c>
    </row>
    <row r="31" spans="1:33" s="43" customFormat="1" ht="35.65" customHeight="1">
      <c r="A31" s="330"/>
      <c r="C31" s="46"/>
      <c r="D31" s="188"/>
      <c r="E31" s="515" t="s">
        <v>91</v>
      </c>
      <c r="F31" s="49" t="s">
        <v>796</v>
      </c>
      <c r="G31" s="169" t="s">
        <v>555</v>
      </c>
      <c r="H31" s="176"/>
      <c r="I31" s="176"/>
      <c r="J31" s="176"/>
      <c r="K31" s="29" t="s">
        <v>797</v>
      </c>
      <c r="L31" s="170"/>
      <c r="M31" s="46"/>
      <c r="N31" s="46"/>
      <c r="S31" s="46"/>
      <c r="V31" s="77"/>
      <c r="AB31" s="7"/>
      <c r="AC31" s="7"/>
      <c r="AD31" s="7"/>
      <c r="AE31" s="7"/>
      <c r="AF31" s="7"/>
      <c r="AG31" s="43">
        <v>34</v>
      </c>
    </row>
    <row r="32" spans="1:33" s="43" customFormat="1" ht="24" customHeight="1">
      <c r="A32" s="330"/>
      <c r="C32" s="46"/>
      <c r="D32" s="23"/>
      <c r="E32" s="515" t="s">
        <v>757</v>
      </c>
      <c r="F32" s="49" t="s">
        <v>761</v>
      </c>
      <c r="G32" s="169" t="s">
        <v>555</v>
      </c>
      <c r="H32" s="176"/>
      <c r="I32" s="176"/>
      <c r="J32" s="176"/>
      <c r="K32" s="29" t="s">
        <v>798</v>
      </c>
      <c r="L32" s="170"/>
      <c r="M32" s="46"/>
      <c r="N32" s="46"/>
      <c r="S32" s="46"/>
      <c r="V32" s="77"/>
      <c r="AB32" s="7"/>
      <c r="AC32" s="7"/>
      <c r="AD32" s="7"/>
      <c r="AE32" s="7"/>
      <c r="AF32" s="7"/>
      <c r="AG32" s="43">
        <v>23</v>
      </c>
    </row>
    <row r="33" spans="1:33" s="43" customFormat="1" ht="24" customHeight="1">
      <c r="A33" s="330"/>
      <c r="C33" s="46"/>
      <c r="D33" s="23"/>
      <c r="E33" s="515" t="s">
        <v>799</v>
      </c>
      <c r="F33" s="49" t="s">
        <v>800</v>
      </c>
      <c r="G33" s="169" t="s">
        <v>555</v>
      </c>
      <c r="H33" s="176"/>
      <c r="I33" s="176"/>
      <c r="J33" s="176"/>
      <c r="K33" s="29" t="s">
        <v>801</v>
      </c>
      <c r="L33" s="170"/>
      <c r="M33" s="46"/>
      <c r="N33" s="46"/>
      <c r="S33" s="46"/>
      <c r="V33" s="77"/>
      <c r="AB33" s="7"/>
      <c r="AC33" s="7"/>
      <c r="AD33" s="7"/>
      <c r="AE33" s="7"/>
      <c r="AF33" s="7"/>
      <c r="AG33" s="43">
        <v>23</v>
      </c>
    </row>
    <row r="34" spans="1:33" s="43" customFormat="1" ht="24" customHeight="1">
      <c r="A34" s="330"/>
      <c r="C34" s="46"/>
      <c r="D34" s="23"/>
      <c r="E34" s="515" t="s">
        <v>802</v>
      </c>
      <c r="F34" s="49" t="s">
        <v>767</v>
      </c>
      <c r="G34" s="169" t="s">
        <v>555</v>
      </c>
      <c r="H34" s="176"/>
      <c r="I34" s="176"/>
      <c r="J34" s="176"/>
      <c r="K34" s="29" t="s">
        <v>803</v>
      </c>
      <c r="L34" s="170"/>
      <c r="M34" s="46"/>
      <c r="N34" s="46"/>
      <c r="S34" s="46"/>
      <c r="V34" s="77"/>
      <c r="AB34" s="7"/>
      <c r="AC34" s="7"/>
      <c r="AD34" s="7"/>
      <c r="AE34" s="7"/>
      <c r="AF34" s="7"/>
      <c r="AG34" s="43">
        <v>23</v>
      </c>
    </row>
    <row r="35" spans="1:33" s="43" customFormat="1" ht="35.65" customHeight="1">
      <c r="A35" s="330"/>
      <c r="C35" s="46" t="s">
        <v>591</v>
      </c>
      <c r="D35" s="23"/>
      <c r="E35" s="515" t="s">
        <v>112</v>
      </c>
      <c r="F35" s="49" t="s">
        <v>633</v>
      </c>
      <c r="G35" s="29" t="s">
        <v>309</v>
      </c>
      <c r="H35" s="131"/>
      <c r="I35" s="131"/>
      <c r="J35" s="131"/>
      <c r="K35" s="29" t="s">
        <v>804</v>
      </c>
      <c r="L35" s="170"/>
      <c r="M35" s="46"/>
      <c r="N35" s="46"/>
      <c r="S35" s="46"/>
      <c r="V35" s="77"/>
      <c r="AB35" s="7"/>
      <c r="AC35" s="7"/>
      <c r="AD35" s="7"/>
      <c r="AE35" s="7"/>
      <c r="AF35" s="7"/>
      <c r="AG35" s="43">
        <v>34</v>
      </c>
    </row>
    <row r="36" spans="1:33" s="43" customFormat="1" ht="35.65" customHeight="1">
      <c r="A36" s="330"/>
      <c r="C36" s="46"/>
      <c r="D36" s="23"/>
      <c r="E36" s="515" t="s">
        <v>92</v>
      </c>
      <c r="F36" s="49" t="s">
        <v>805</v>
      </c>
      <c r="G36" s="169" t="s">
        <v>772</v>
      </c>
      <c r="H36" s="171"/>
      <c r="I36" s="171"/>
      <c r="J36" s="171"/>
      <c r="K36" s="29" t="s">
        <v>773</v>
      </c>
      <c r="L36" s="170"/>
      <c r="M36" s="46"/>
      <c r="N36" s="46"/>
      <c r="S36" s="46"/>
      <c r="V36" s="77"/>
      <c r="AB36" s="7"/>
      <c r="AC36" s="7"/>
      <c r="AD36" s="7"/>
      <c r="AE36" s="7"/>
      <c r="AF36" s="7"/>
      <c r="AG36" s="43">
        <v>34</v>
      </c>
    </row>
    <row r="37" spans="1:33" s="43" customFormat="1" ht="24" customHeight="1">
      <c r="A37" s="330"/>
      <c r="C37" s="46"/>
      <c r="D37" s="23"/>
      <c r="E37" s="515" t="s">
        <v>93</v>
      </c>
      <c r="F37" s="49" t="s">
        <v>806</v>
      </c>
      <c r="G37" s="169" t="s">
        <v>775</v>
      </c>
      <c r="H37" s="171"/>
      <c r="I37" s="171"/>
      <c r="J37" s="171"/>
      <c r="K37" s="29" t="s">
        <v>776</v>
      </c>
      <c r="L37" s="170"/>
      <c r="M37" s="46"/>
      <c r="N37" s="46"/>
      <c r="S37" s="46"/>
      <c r="V37" s="77"/>
      <c r="AB37" s="7"/>
      <c r="AC37" s="7"/>
      <c r="AD37" s="7"/>
      <c r="AE37" s="7"/>
      <c r="AF37" s="7"/>
      <c r="AG37" s="43">
        <v>23</v>
      </c>
    </row>
    <row r="38" spans="1:33" ht="11.45" customHeight="1">
      <c r="D38" s="23"/>
      <c r="AG38" s="4">
        <v>11</v>
      </c>
    </row>
    <row r="39" spans="1:33" ht="27.4" customHeight="1">
      <c r="D39" s="23"/>
      <c r="E39" s="4" t="s">
        <v>807</v>
      </c>
      <c r="F39" s="665" t="s">
        <v>808</v>
      </c>
      <c r="G39" s="665"/>
      <c r="AG39" s="4">
        <v>26</v>
      </c>
    </row>
    <row r="40" spans="1:33" s="117" customFormat="1" ht="39.75" customHeight="1">
      <c r="A40" s="330"/>
      <c r="B40" s="46"/>
      <c r="C40" s="46"/>
      <c r="F40" s="665" t="s">
        <v>809</v>
      </c>
      <c r="G40" s="665"/>
      <c r="H40" s="4"/>
      <c r="I40" s="4"/>
      <c r="J40" s="4"/>
      <c r="K40" s="4"/>
      <c r="L40" s="43"/>
      <c r="M40" s="46"/>
      <c r="N40" s="46"/>
      <c r="O40" s="43"/>
      <c r="P40" s="43"/>
      <c r="Q40" s="43"/>
      <c r="R40" s="43"/>
      <c r="S40" s="46"/>
      <c r="T40" s="43"/>
      <c r="U40" s="43"/>
      <c r="V40" s="77"/>
      <c r="W40" s="43"/>
      <c r="X40" s="43"/>
      <c r="Y40" s="43"/>
      <c r="Z40" s="43"/>
      <c r="AA40" s="43"/>
      <c r="AB40" s="7"/>
      <c r="AC40" s="88"/>
      <c r="AD40" s="88"/>
      <c r="AE40" s="88"/>
      <c r="AF40" s="88"/>
      <c r="AG40" s="117">
        <v>38</v>
      </c>
    </row>
    <row r="41" spans="1:33" s="117" customFormat="1" ht="11.45" customHeight="1">
      <c r="A41" s="330"/>
      <c r="B41" s="46"/>
      <c r="C41" s="46"/>
      <c r="L41" s="43"/>
      <c r="M41" s="46"/>
      <c r="N41" s="46"/>
      <c r="O41" s="43"/>
      <c r="P41" s="43"/>
      <c r="Q41" s="43"/>
      <c r="R41" s="43"/>
      <c r="S41" s="46"/>
      <c r="T41" s="43"/>
      <c r="U41" s="43"/>
      <c r="V41" s="77"/>
      <c r="W41" s="43"/>
      <c r="X41" s="43"/>
      <c r="Y41" s="43"/>
      <c r="Z41" s="43"/>
      <c r="AA41" s="43"/>
      <c r="AB41" s="7"/>
      <c r="AC41" s="88"/>
      <c r="AD41" s="88"/>
      <c r="AE41" s="88"/>
      <c r="AF41" s="88"/>
      <c r="AG41" s="117">
        <v>11</v>
      </c>
    </row>
    <row r="42" spans="1:33" s="117" customFormat="1" ht="11.45" customHeight="1">
      <c r="A42" s="330"/>
      <c r="B42" s="46"/>
      <c r="C42" s="46"/>
      <c r="L42" s="43"/>
      <c r="M42" s="46"/>
      <c r="N42" s="46"/>
      <c r="O42" s="43"/>
      <c r="P42" s="43"/>
      <c r="Q42" s="43"/>
      <c r="R42" s="43"/>
      <c r="S42" s="46"/>
      <c r="T42" s="43"/>
      <c r="U42" s="43"/>
      <c r="V42" s="77"/>
      <c r="W42" s="43"/>
      <c r="X42" s="43"/>
      <c r="Y42" s="43"/>
      <c r="Z42" s="43"/>
      <c r="AA42" s="43"/>
      <c r="AB42" s="7"/>
      <c r="AC42" s="88"/>
      <c r="AD42" s="88"/>
      <c r="AE42" s="88"/>
      <c r="AF42" s="88"/>
      <c r="AG42" s="117">
        <v>11</v>
      </c>
    </row>
    <row r="43" spans="1:33" s="117" customFormat="1" ht="11.45" customHeight="1">
      <c r="A43" s="330"/>
      <c r="B43" s="46"/>
      <c r="C43" s="46"/>
      <c r="H43" s="88"/>
      <c r="I43" s="88"/>
      <c r="J43" s="88"/>
      <c r="L43" s="43"/>
      <c r="M43" s="46"/>
      <c r="N43" s="46"/>
      <c r="O43" s="43"/>
      <c r="P43" s="43"/>
      <c r="Q43" s="43"/>
      <c r="R43" s="43"/>
      <c r="S43" s="46"/>
      <c r="T43" s="43"/>
      <c r="U43" s="43"/>
      <c r="V43" s="77"/>
      <c r="W43" s="43"/>
      <c r="X43" s="43"/>
      <c r="Y43" s="43"/>
      <c r="Z43" s="43"/>
      <c r="AA43" s="43"/>
      <c r="AB43" s="7"/>
      <c r="AC43" s="88"/>
      <c r="AD43" s="88"/>
      <c r="AE43" s="88"/>
      <c r="AF43" s="88"/>
      <c r="AG43" s="117">
        <v>11</v>
      </c>
    </row>
    <row r="44" spans="1:33" s="117" customFormat="1" ht="11.45" customHeight="1">
      <c r="A44" s="330"/>
      <c r="B44" s="46"/>
      <c r="C44" s="46"/>
      <c r="L44" s="43"/>
      <c r="M44" s="46"/>
      <c r="N44" s="46"/>
      <c r="O44" s="43"/>
      <c r="P44" s="43"/>
      <c r="Q44" s="43"/>
      <c r="R44" s="43"/>
      <c r="S44" s="46"/>
      <c r="T44" s="43"/>
      <c r="U44" s="43"/>
      <c r="V44" s="77"/>
      <c r="W44" s="43"/>
      <c r="X44" s="43"/>
      <c r="Y44" s="43"/>
      <c r="Z44" s="43"/>
      <c r="AA44" s="43"/>
      <c r="AB44" s="7"/>
      <c r="AC44" s="88"/>
      <c r="AD44" s="88"/>
      <c r="AE44" s="88"/>
      <c r="AF44" s="88"/>
      <c r="AG44" s="117">
        <v>11</v>
      </c>
    </row>
    <row r="45" spans="1:33" s="117" customFormat="1" ht="11.45" customHeight="1">
      <c r="A45" s="330"/>
      <c r="B45" s="46"/>
      <c r="C45" s="46"/>
      <c r="L45" s="43"/>
      <c r="M45" s="46"/>
      <c r="N45" s="46"/>
      <c r="O45" s="43"/>
      <c r="P45" s="43"/>
      <c r="Q45" s="43"/>
      <c r="R45" s="43"/>
      <c r="S45" s="46"/>
      <c r="T45" s="43"/>
      <c r="U45" s="43"/>
      <c r="V45" s="77"/>
      <c r="W45" s="43"/>
      <c r="X45" s="43"/>
      <c r="Y45" s="43"/>
      <c r="Z45" s="43"/>
      <c r="AA45" s="43"/>
      <c r="AB45" s="7"/>
      <c r="AC45" s="88"/>
      <c r="AD45" s="88"/>
      <c r="AE45" s="88"/>
      <c r="AF45" s="88"/>
      <c r="AG45" s="117">
        <v>11</v>
      </c>
    </row>
    <row r="46" spans="1:33" s="117" customFormat="1" ht="11.45" customHeight="1">
      <c r="A46" s="330"/>
      <c r="B46" s="46"/>
      <c r="C46" s="46"/>
      <c r="L46" s="43"/>
      <c r="M46" s="46"/>
      <c r="N46" s="46"/>
      <c r="O46" s="43"/>
      <c r="P46" s="43"/>
      <c r="Q46" s="43"/>
      <c r="R46" s="43"/>
      <c r="S46" s="46"/>
      <c r="T46" s="43"/>
      <c r="U46" s="43"/>
      <c r="V46" s="77"/>
      <c r="W46" s="43"/>
      <c r="X46" s="43"/>
      <c r="Y46" s="43"/>
      <c r="Z46" s="43"/>
      <c r="AA46" s="43"/>
      <c r="AB46" s="7"/>
      <c r="AC46" s="88"/>
      <c r="AD46" s="88"/>
      <c r="AE46" s="88"/>
      <c r="AF46" s="88"/>
      <c r="AG46" s="117">
        <v>11</v>
      </c>
    </row>
    <row r="47" spans="1:33" s="117" customFormat="1" ht="11.45" customHeight="1">
      <c r="A47" s="330"/>
      <c r="B47" s="46"/>
      <c r="C47" s="46"/>
      <c r="L47" s="43"/>
      <c r="M47" s="46"/>
      <c r="N47" s="46"/>
      <c r="O47" s="43"/>
      <c r="P47" s="43"/>
      <c r="Q47" s="43"/>
      <c r="R47" s="43"/>
      <c r="S47" s="46"/>
      <c r="T47" s="43"/>
      <c r="U47" s="43"/>
      <c r="V47" s="77"/>
      <c r="W47" s="43"/>
      <c r="X47" s="43"/>
      <c r="Y47" s="43"/>
      <c r="Z47" s="43"/>
      <c r="AA47" s="43"/>
      <c r="AB47" s="7"/>
      <c r="AC47" s="88"/>
      <c r="AD47" s="88"/>
      <c r="AE47" s="88"/>
      <c r="AF47" s="88"/>
      <c r="AG47" s="117">
        <v>11</v>
      </c>
    </row>
    <row r="48" spans="1:33" s="117" customFormat="1" ht="11.45" customHeight="1">
      <c r="A48" s="330"/>
      <c r="B48" s="46"/>
      <c r="C48" s="46"/>
      <c r="L48" s="43"/>
      <c r="M48" s="46"/>
      <c r="N48" s="46"/>
      <c r="O48" s="43"/>
      <c r="P48" s="43"/>
      <c r="Q48" s="43"/>
      <c r="R48" s="43"/>
      <c r="S48" s="46"/>
      <c r="T48" s="43"/>
      <c r="U48" s="43"/>
      <c r="V48" s="77"/>
      <c r="W48" s="43"/>
      <c r="X48" s="43"/>
      <c r="Y48" s="43"/>
      <c r="Z48" s="43"/>
      <c r="AA48" s="43"/>
      <c r="AB48" s="7"/>
      <c r="AC48" s="88"/>
      <c r="AD48" s="88"/>
      <c r="AE48" s="88"/>
      <c r="AF48" s="88"/>
      <c r="AG48" s="117">
        <v>11</v>
      </c>
    </row>
    <row r="49" spans="1:33" s="117" customFormat="1" ht="11.45" customHeight="1">
      <c r="A49" s="330"/>
      <c r="B49" s="46"/>
      <c r="C49" s="46"/>
      <c r="L49" s="43"/>
      <c r="M49" s="46"/>
      <c r="N49" s="46"/>
      <c r="O49" s="43"/>
      <c r="P49" s="43"/>
      <c r="Q49" s="43"/>
      <c r="R49" s="43"/>
      <c r="S49" s="46"/>
      <c r="T49" s="43"/>
      <c r="U49" s="43"/>
      <c r="V49" s="77"/>
      <c r="W49" s="43"/>
      <c r="X49" s="43"/>
      <c r="Y49" s="43"/>
      <c r="Z49" s="43"/>
      <c r="AA49" s="43"/>
      <c r="AB49" s="7"/>
      <c r="AC49" s="88"/>
      <c r="AD49" s="88"/>
      <c r="AE49" s="88"/>
      <c r="AF49" s="88"/>
      <c r="AG49" s="117">
        <v>11</v>
      </c>
    </row>
    <row r="50" spans="1:33" s="117" customFormat="1" ht="11.45" customHeight="1">
      <c r="A50" s="330"/>
      <c r="B50" s="46"/>
      <c r="C50" s="46"/>
      <c r="L50" s="43"/>
      <c r="M50" s="46"/>
      <c r="N50" s="46"/>
      <c r="O50" s="43"/>
      <c r="P50" s="43"/>
      <c r="Q50" s="43"/>
      <c r="R50" s="43"/>
      <c r="S50" s="46"/>
      <c r="T50" s="43"/>
      <c r="U50" s="43"/>
      <c r="V50" s="77"/>
      <c r="W50" s="43"/>
      <c r="X50" s="43"/>
      <c r="Y50" s="43"/>
      <c r="Z50" s="43"/>
      <c r="AA50" s="43"/>
      <c r="AB50" s="7"/>
      <c r="AC50" s="88"/>
      <c r="AD50" s="88"/>
      <c r="AE50" s="88"/>
      <c r="AF50" s="88"/>
      <c r="AG50" s="117">
        <v>11</v>
      </c>
    </row>
    <row r="51" spans="1:33" s="117" customFormat="1" ht="11.45" customHeight="1">
      <c r="A51" s="330"/>
      <c r="B51" s="46"/>
      <c r="C51" s="46"/>
      <c r="L51" s="43"/>
      <c r="M51" s="46"/>
      <c r="N51" s="46"/>
      <c r="O51" s="43"/>
      <c r="P51" s="43"/>
      <c r="Q51" s="43"/>
      <c r="R51" s="43"/>
      <c r="S51" s="46"/>
      <c r="T51" s="43"/>
      <c r="U51" s="43"/>
      <c r="V51" s="77"/>
      <c r="W51" s="43"/>
      <c r="X51" s="43"/>
      <c r="Y51" s="43"/>
      <c r="Z51" s="43"/>
      <c r="AA51" s="43"/>
      <c r="AB51" s="7"/>
      <c r="AC51" s="88"/>
      <c r="AD51" s="88"/>
      <c r="AE51" s="88"/>
      <c r="AF51" s="88"/>
      <c r="AG51" s="117">
        <v>11</v>
      </c>
    </row>
    <row r="52" spans="1:33" s="117" customFormat="1" ht="11.45" customHeight="1">
      <c r="A52" s="330"/>
      <c r="B52" s="46"/>
      <c r="C52" s="46"/>
      <c r="L52" s="43"/>
      <c r="M52" s="46"/>
      <c r="N52" s="46"/>
      <c r="O52" s="43"/>
      <c r="P52" s="43"/>
      <c r="Q52" s="43"/>
      <c r="R52" s="43"/>
      <c r="S52" s="46"/>
      <c r="T52" s="43"/>
      <c r="U52" s="43"/>
      <c r="V52" s="77"/>
      <c r="W52" s="43"/>
      <c r="X52" s="43"/>
      <c r="Y52" s="43"/>
      <c r="Z52" s="43"/>
      <c r="AA52" s="43"/>
      <c r="AB52" s="7"/>
      <c r="AC52" s="88"/>
      <c r="AD52" s="88"/>
      <c r="AE52" s="88"/>
      <c r="AF52" s="88"/>
      <c r="AG52" s="117">
        <v>11</v>
      </c>
    </row>
    <row r="53" spans="1:33" s="117" customFormat="1" ht="11.45" customHeight="1">
      <c r="A53" s="330"/>
      <c r="B53" s="46"/>
      <c r="C53" s="46"/>
      <c r="L53" s="43"/>
      <c r="M53" s="46"/>
      <c r="N53" s="46"/>
      <c r="O53" s="43"/>
      <c r="P53" s="43"/>
      <c r="Q53" s="43"/>
      <c r="R53" s="43"/>
      <c r="S53" s="46"/>
      <c r="T53" s="43"/>
      <c r="U53" s="43"/>
      <c r="V53" s="77"/>
      <c r="W53" s="43"/>
      <c r="X53" s="43"/>
      <c r="Y53" s="43"/>
      <c r="Z53" s="43"/>
      <c r="AA53" s="43"/>
      <c r="AB53" s="7"/>
      <c r="AC53" s="88"/>
      <c r="AD53" s="88"/>
      <c r="AE53" s="88"/>
      <c r="AF53" s="88"/>
      <c r="AG53" s="117">
        <v>11</v>
      </c>
    </row>
    <row r="54" spans="1:33" s="117" customFormat="1" ht="11.45" customHeight="1">
      <c r="A54" s="330"/>
      <c r="B54" s="46"/>
      <c r="C54" s="46"/>
      <c r="L54" s="43"/>
      <c r="M54" s="46"/>
      <c r="N54" s="46"/>
      <c r="O54" s="43"/>
      <c r="P54" s="43"/>
      <c r="Q54" s="43"/>
      <c r="R54" s="43"/>
      <c r="S54" s="46"/>
      <c r="T54" s="43"/>
      <c r="U54" s="43"/>
      <c r="V54" s="77"/>
      <c r="W54" s="43"/>
      <c r="X54" s="43"/>
      <c r="Y54" s="43"/>
      <c r="Z54" s="43"/>
      <c r="AA54" s="43"/>
      <c r="AB54" s="7"/>
      <c r="AC54" s="88"/>
      <c r="AD54" s="88"/>
      <c r="AE54" s="88"/>
      <c r="AF54" s="88"/>
      <c r="AG54" s="117">
        <v>11</v>
      </c>
    </row>
    <row r="55" spans="1:33" s="117" customFormat="1" ht="11.45" customHeight="1">
      <c r="A55" s="330"/>
      <c r="B55" s="46"/>
      <c r="C55" s="46"/>
      <c r="L55" s="43"/>
      <c r="M55" s="46"/>
      <c r="N55" s="46"/>
      <c r="O55" s="43"/>
      <c r="P55" s="43"/>
      <c r="Q55" s="43"/>
      <c r="R55" s="43"/>
      <c r="S55" s="46"/>
      <c r="T55" s="43"/>
      <c r="U55" s="43"/>
      <c r="V55" s="77"/>
      <c r="W55" s="43"/>
      <c r="X55" s="43"/>
      <c r="Y55" s="43"/>
      <c r="Z55" s="43"/>
      <c r="AA55" s="43"/>
      <c r="AB55" s="7"/>
      <c r="AC55" s="88"/>
      <c r="AD55" s="88"/>
      <c r="AE55" s="88"/>
      <c r="AF55" s="88"/>
      <c r="AG55" s="117">
        <v>11</v>
      </c>
    </row>
    <row r="56" spans="1:33" s="117" customFormat="1" ht="11.45" customHeight="1">
      <c r="A56" s="330"/>
      <c r="B56" s="46"/>
      <c r="C56" s="46"/>
      <c r="L56" s="43"/>
      <c r="M56" s="46"/>
      <c r="N56" s="46"/>
      <c r="O56" s="43"/>
      <c r="P56" s="43"/>
      <c r="Q56" s="43"/>
      <c r="R56" s="43"/>
      <c r="S56" s="46"/>
      <c r="T56" s="43"/>
      <c r="U56" s="43"/>
      <c r="V56" s="77"/>
      <c r="W56" s="43"/>
      <c r="X56" s="43"/>
      <c r="Y56" s="43"/>
      <c r="Z56" s="43"/>
      <c r="AA56" s="43"/>
      <c r="AB56" s="7"/>
      <c r="AC56" s="88"/>
      <c r="AD56" s="88"/>
      <c r="AE56" s="88"/>
      <c r="AF56" s="88"/>
      <c r="AG56" s="117">
        <v>11</v>
      </c>
    </row>
    <row r="57" spans="1:33" s="117" customFormat="1" ht="11.45" customHeight="1">
      <c r="A57" s="330"/>
      <c r="B57" s="46"/>
      <c r="C57" s="46"/>
      <c r="L57" s="43"/>
      <c r="M57" s="46"/>
      <c r="N57" s="46"/>
      <c r="O57" s="43"/>
      <c r="P57" s="43"/>
      <c r="Q57" s="43"/>
      <c r="R57" s="43"/>
      <c r="S57" s="46"/>
      <c r="T57" s="43"/>
      <c r="U57" s="43"/>
      <c r="V57" s="77"/>
      <c r="W57" s="43"/>
      <c r="X57" s="43"/>
      <c r="Y57" s="43"/>
      <c r="Z57" s="43"/>
      <c r="AA57" s="43"/>
      <c r="AB57" s="7"/>
      <c r="AC57" s="88"/>
      <c r="AD57" s="88"/>
      <c r="AE57" s="88"/>
      <c r="AF57" s="88"/>
      <c r="AG57" s="117">
        <v>11</v>
      </c>
    </row>
    <row r="58" spans="1:33" s="117" customFormat="1" ht="11.45" customHeight="1">
      <c r="A58" s="330"/>
      <c r="B58" s="46"/>
      <c r="C58" s="46"/>
      <c r="L58" s="43"/>
      <c r="M58" s="46"/>
      <c r="N58" s="46"/>
      <c r="O58" s="43"/>
      <c r="P58" s="43"/>
      <c r="Q58" s="43"/>
      <c r="R58" s="43"/>
      <c r="S58" s="46"/>
      <c r="T58" s="43"/>
      <c r="U58" s="43"/>
      <c r="V58" s="77"/>
      <c r="W58" s="43"/>
      <c r="X58" s="43"/>
      <c r="Y58" s="43"/>
      <c r="Z58" s="43"/>
      <c r="AA58" s="43"/>
      <c r="AB58" s="7"/>
      <c r="AC58" s="88"/>
      <c r="AD58" s="88"/>
      <c r="AE58" s="88"/>
      <c r="AF58" s="88"/>
      <c r="AG58" s="117">
        <v>11</v>
      </c>
    </row>
    <row r="59" spans="1:33" s="117" customFormat="1" ht="11.45" customHeight="1">
      <c r="A59" s="330"/>
      <c r="B59" s="46"/>
      <c r="C59" s="46"/>
      <c r="L59" s="43"/>
      <c r="M59" s="46"/>
      <c r="N59" s="46"/>
      <c r="O59" s="43"/>
      <c r="P59" s="43"/>
      <c r="Q59" s="43"/>
      <c r="R59" s="43"/>
      <c r="S59" s="46"/>
      <c r="T59" s="43"/>
      <c r="U59" s="43"/>
      <c r="V59" s="77"/>
      <c r="W59" s="43"/>
      <c r="X59" s="43"/>
      <c r="Y59" s="43"/>
      <c r="Z59" s="43"/>
      <c r="AA59" s="43"/>
      <c r="AB59" s="7"/>
      <c r="AC59" s="88"/>
      <c r="AD59" s="88"/>
      <c r="AE59" s="88"/>
      <c r="AF59" s="88"/>
      <c r="AG59" s="117">
        <v>11</v>
      </c>
    </row>
    <row r="60" spans="1:33" s="117" customFormat="1" ht="11.45" customHeight="1">
      <c r="A60" s="330"/>
      <c r="B60" s="46"/>
      <c r="C60" s="46"/>
      <c r="L60" s="43"/>
      <c r="M60" s="46"/>
      <c r="N60" s="46"/>
      <c r="O60" s="43"/>
      <c r="P60" s="43"/>
      <c r="Q60" s="43"/>
      <c r="R60" s="43"/>
      <c r="S60" s="46"/>
      <c r="T60" s="43"/>
      <c r="U60" s="43"/>
      <c r="V60" s="77"/>
      <c r="W60" s="43"/>
      <c r="X60" s="43"/>
      <c r="Y60" s="43"/>
      <c r="Z60" s="43"/>
      <c r="AA60" s="43"/>
      <c r="AB60" s="7"/>
      <c r="AC60" s="88"/>
      <c r="AD60" s="88"/>
      <c r="AE60" s="88"/>
      <c r="AF60" s="88"/>
      <c r="AG60" s="117">
        <v>11</v>
      </c>
    </row>
    <row r="61" spans="1:33" s="117" customFormat="1" ht="11.45" customHeight="1">
      <c r="A61" s="330"/>
      <c r="B61" s="46"/>
      <c r="C61" s="46"/>
      <c r="L61" s="43"/>
      <c r="M61" s="46"/>
      <c r="N61" s="46"/>
      <c r="O61" s="43"/>
      <c r="P61" s="43"/>
      <c r="Q61" s="43"/>
      <c r="R61" s="43"/>
      <c r="S61" s="46"/>
      <c r="T61" s="43"/>
      <c r="U61" s="43"/>
      <c r="V61" s="77"/>
      <c r="W61" s="43"/>
      <c r="X61" s="43"/>
      <c r="Y61" s="43"/>
      <c r="Z61" s="43"/>
      <c r="AA61" s="43"/>
      <c r="AB61" s="7"/>
      <c r="AC61" s="88"/>
      <c r="AD61" s="88"/>
      <c r="AE61" s="88"/>
      <c r="AF61" s="88"/>
      <c r="AG61" s="117">
        <v>11</v>
      </c>
    </row>
    <row r="62" spans="1:33" s="117" customFormat="1" ht="11.45" customHeight="1">
      <c r="A62" s="330"/>
      <c r="B62" s="46"/>
      <c r="C62" s="46"/>
      <c r="L62" s="43"/>
      <c r="M62" s="46"/>
      <c r="N62" s="46"/>
      <c r="O62" s="43"/>
      <c r="P62" s="43"/>
      <c r="Q62" s="43"/>
      <c r="R62" s="43"/>
      <c r="S62" s="46"/>
      <c r="T62" s="43"/>
      <c r="U62" s="43"/>
      <c r="V62" s="77"/>
      <c r="W62" s="43"/>
      <c r="X62" s="43"/>
      <c r="Y62" s="43"/>
      <c r="Z62" s="43"/>
      <c r="AA62" s="43"/>
      <c r="AB62" s="7"/>
      <c r="AC62" s="88"/>
      <c r="AD62" s="88"/>
      <c r="AE62" s="88"/>
      <c r="AF62" s="88"/>
      <c r="AG62" s="117">
        <v>11</v>
      </c>
    </row>
    <row r="63" spans="1:33" s="117" customFormat="1" ht="11.45" customHeight="1">
      <c r="A63" s="330"/>
      <c r="B63" s="46"/>
      <c r="C63" s="46"/>
      <c r="L63" s="43"/>
      <c r="M63" s="46"/>
      <c r="N63" s="46"/>
      <c r="O63" s="43"/>
      <c r="P63" s="43"/>
      <c r="Q63" s="43"/>
      <c r="R63" s="43"/>
      <c r="S63" s="46"/>
      <c r="T63" s="43"/>
      <c r="U63" s="43"/>
      <c r="V63" s="77"/>
      <c r="W63" s="43"/>
      <c r="X63" s="43"/>
      <c r="Y63" s="43"/>
      <c r="Z63" s="43"/>
      <c r="AA63" s="43"/>
      <c r="AB63" s="7"/>
      <c r="AC63" s="88"/>
      <c r="AD63" s="88"/>
      <c r="AE63" s="88"/>
      <c r="AF63" s="88"/>
      <c r="AG63" s="117">
        <v>11</v>
      </c>
    </row>
    <row r="64" spans="1:33" s="117" customFormat="1" ht="11.45" customHeight="1">
      <c r="A64" s="330"/>
      <c r="B64" s="46"/>
      <c r="C64" s="46"/>
      <c r="L64" s="43"/>
      <c r="M64" s="46"/>
      <c r="N64" s="46"/>
      <c r="O64" s="43"/>
      <c r="P64" s="43"/>
      <c r="Q64" s="43"/>
      <c r="R64" s="43"/>
      <c r="S64" s="46"/>
      <c r="T64" s="43"/>
      <c r="U64" s="43"/>
      <c r="V64" s="77"/>
      <c r="W64" s="43"/>
      <c r="X64" s="43"/>
      <c r="Y64" s="43"/>
      <c r="Z64" s="43"/>
      <c r="AA64" s="43"/>
      <c r="AB64" s="7"/>
      <c r="AC64" s="88"/>
      <c r="AD64" s="88"/>
      <c r="AE64" s="88"/>
      <c r="AF64" s="88"/>
      <c r="AG64" s="117">
        <v>11</v>
      </c>
    </row>
    <row r="65" spans="1:33" s="117" customFormat="1" ht="11.45" customHeight="1">
      <c r="A65" s="330"/>
      <c r="B65" s="46"/>
      <c r="C65" s="46"/>
      <c r="L65" s="43"/>
      <c r="M65" s="46"/>
      <c r="N65" s="46"/>
      <c r="O65" s="43"/>
      <c r="P65" s="43"/>
      <c r="Q65" s="43"/>
      <c r="R65" s="43"/>
      <c r="S65" s="46"/>
      <c r="T65" s="43"/>
      <c r="U65" s="43"/>
      <c r="V65" s="77"/>
      <c r="W65" s="43"/>
      <c r="X65" s="43"/>
      <c r="Y65" s="43"/>
      <c r="Z65" s="43"/>
      <c r="AA65" s="43"/>
      <c r="AB65" s="7"/>
      <c r="AC65" s="88"/>
      <c r="AD65" s="88"/>
      <c r="AE65" s="88"/>
      <c r="AF65" s="88"/>
      <c r="AG65" s="117">
        <v>11</v>
      </c>
    </row>
    <row r="66" spans="1:33" s="117" customFormat="1" ht="11.45" customHeight="1">
      <c r="A66" s="330"/>
      <c r="B66" s="46"/>
      <c r="C66" s="46"/>
      <c r="L66" s="43"/>
      <c r="M66" s="46"/>
      <c r="N66" s="46"/>
      <c r="O66" s="43"/>
      <c r="P66" s="43"/>
      <c r="Q66" s="43"/>
      <c r="R66" s="43"/>
      <c r="S66" s="46"/>
      <c r="T66" s="43"/>
      <c r="U66" s="43"/>
      <c r="V66" s="77"/>
      <c r="W66" s="43"/>
      <c r="X66" s="43"/>
      <c r="Y66" s="43"/>
      <c r="Z66" s="43"/>
      <c r="AA66" s="43"/>
      <c r="AB66" s="7"/>
      <c r="AC66" s="88"/>
      <c r="AD66" s="88"/>
      <c r="AE66" s="88"/>
      <c r="AF66" s="88"/>
      <c r="AG66" s="117">
        <v>11</v>
      </c>
    </row>
    <row r="67" spans="1:33" s="117" customFormat="1" ht="11.45" customHeight="1">
      <c r="A67" s="330"/>
      <c r="B67" s="46"/>
      <c r="C67" s="46"/>
      <c r="L67" s="43"/>
      <c r="M67" s="46"/>
      <c r="N67" s="46"/>
      <c r="O67" s="43"/>
      <c r="P67" s="43"/>
      <c r="Q67" s="43"/>
      <c r="R67" s="43"/>
      <c r="S67" s="46"/>
      <c r="T67" s="43"/>
      <c r="U67" s="43"/>
      <c r="V67" s="77"/>
      <c r="W67" s="43"/>
      <c r="X67" s="43"/>
      <c r="Y67" s="43"/>
      <c r="Z67" s="43"/>
      <c r="AA67" s="43"/>
      <c r="AB67" s="7"/>
      <c r="AC67" s="88"/>
      <c r="AD67" s="88"/>
      <c r="AE67" s="88"/>
      <c r="AF67" s="88"/>
      <c r="AG67" s="117">
        <v>11</v>
      </c>
    </row>
    <row r="68" spans="1:33" s="117" customFormat="1" ht="11.45" customHeight="1">
      <c r="A68" s="330"/>
      <c r="B68" s="46"/>
      <c r="C68" s="46"/>
      <c r="L68" s="43"/>
      <c r="M68" s="46"/>
      <c r="N68" s="46"/>
      <c r="O68" s="43"/>
      <c r="P68" s="43"/>
      <c r="Q68" s="43"/>
      <c r="R68" s="43"/>
      <c r="S68" s="46"/>
      <c r="T68" s="43"/>
      <c r="U68" s="43"/>
      <c r="V68" s="77"/>
      <c r="W68" s="43"/>
      <c r="X68" s="43"/>
      <c r="Y68" s="43"/>
      <c r="Z68" s="43"/>
      <c r="AA68" s="43"/>
      <c r="AB68" s="7"/>
      <c r="AC68" s="88"/>
      <c r="AD68" s="88"/>
      <c r="AE68" s="88"/>
      <c r="AF68" s="88"/>
      <c r="AG68" s="117">
        <v>11</v>
      </c>
    </row>
    <row r="69" spans="1:33" s="117" customFormat="1" ht="11.45" customHeight="1">
      <c r="A69" s="330"/>
      <c r="B69" s="46"/>
      <c r="C69" s="46"/>
      <c r="L69" s="43"/>
      <c r="M69" s="46"/>
      <c r="N69" s="46"/>
      <c r="O69" s="43"/>
      <c r="P69" s="43"/>
      <c r="Q69" s="43"/>
      <c r="R69" s="43"/>
      <c r="S69" s="46"/>
      <c r="T69" s="43"/>
      <c r="U69" s="43"/>
      <c r="V69" s="77"/>
      <c r="W69" s="43"/>
      <c r="X69" s="43"/>
      <c r="Y69" s="43"/>
      <c r="Z69" s="43"/>
      <c r="AA69" s="43"/>
      <c r="AB69" s="7"/>
      <c r="AC69" s="88"/>
      <c r="AD69" s="88"/>
      <c r="AE69" s="88"/>
      <c r="AF69" s="88"/>
      <c r="AG69" s="117">
        <v>11</v>
      </c>
    </row>
    <row r="70" spans="1:33" s="117" customFormat="1" ht="11.45" customHeight="1">
      <c r="A70" s="330"/>
      <c r="B70" s="46"/>
      <c r="C70" s="46"/>
      <c r="L70" s="43"/>
      <c r="M70" s="46"/>
      <c r="N70" s="46"/>
      <c r="O70" s="43"/>
      <c r="P70" s="43"/>
      <c r="Q70" s="43"/>
      <c r="R70" s="43"/>
      <c r="S70" s="46"/>
      <c r="T70" s="43"/>
      <c r="U70" s="43"/>
      <c r="V70" s="77"/>
      <c r="W70" s="43"/>
      <c r="X70" s="43"/>
      <c r="Y70" s="43"/>
      <c r="Z70" s="43"/>
      <c r="AA70" s="43"/>
      <c r="AB70" s="7"/>
      <c r="AC70" s="88"/>
      <c r="AD70" s="88"/>
      <c r="AE70" s="88"/>
      <c r="AF70" s="88"/>
      <c r="AG70" s="117">
        <v>11</v>
      </c>
    </row>
    <row r="71" spans="1:33" s="117" customFormat="1" ht="11.45" customHeight="1">
      <c r="A71" s="330"/>
      <c r="B71" s="46"/>
      <c r="C71" s="46"/>
      <c r="L71" s="43"/>
      <c r="M71" s="46"/>
      <c r="N71" s="46"/>
      <c r="O71" s="43"/>
      <c r="P71" s="43"/>
      <c r="Q71" s="43"/>
      <c r="R71" s="43"/>
      <c r="S71" s="46"/>
      <c r="T71" s="43"/>
      <c r="U71" s="43"/>
      <c r="V71" s="77"/>
      <c r="W71" s="43"/>
      <c r="X71" s="43"/>
      <c r="Y71" s="43"/>
      <c r="Z71" s="43"/>
      <c r="AA71" s="43"/>
      <c r="AB71" s="7"/>
      <c r="AC71" s="88"/>
      <c r="AD71" s="88"/>
      <c r="AE71" s="88"/>
      <c r="AF71" s="88"/>
      <c r="AG71" s="117">
        <v>11</v>
      </c>
    </row>
    <row r="72" spans="1:33" s="117" customFormat="1" ht="11.45" customHeight="1">
      <c r="A72" s="330"/>
      <c r="B72" s="46"/>
      <c r="C72" s="46"/>
      <c r="L72" s="43"/>
      <c r="M72" s="46"/>
      <c r="N72" s="46"/>
      <c r="O72" s="43"/>
      <c r="P72" s="43"/>
      <c r="Q72" s="43"/>
      <c r="R72" s="43"/>
      <c r="S72" s="46"/>
      <c r="T72" s="43"/>
      <c r="U72" s="43"/>
      <c r="V72" s="77"/>
      <c r="W72" s="43"/>
      <c r="X72" s="43"/>
      <c r="Y72" s="43"/>
      <c r="Z72" s="43"/>
      <c r="AA72" s="43"/>
      <c r="AB72" s="7"/>
      <c r="AC72" s="88"/>
      <c r="AD72" s="88"/>
      <c r="AE72" s="88"/>
      <c r="AF72" s="88"/>
      <c r="AG72" s="117">
        <v>11</v>
      </c>
    </row>
    <row r="73" spans="1:33" s="117" customFormat="1" ht="11.45" customHeight="1">
      <c r="A73" s="330"/>
      <c r="B73" s="46"/>
      <c r="C73" s="46"/>
      <c r="L73" s="43"/>
      <c r="M73" s="46"/>
      <c r="N73" s="46"/>
      <c r="O73" s="43"/>
      <c r="P73" s="43"/>
      <c r="Q73" s="43"/>
      <c r="R73" s="43"/>
      <c r="S73" s="46"/>
      <c r="T73" s="43"/>
      <c r="U73" s="43"/>
      <c r="V73" s="77"/>
      <c r="W73" s="43"/>
      <c r="X73" s="43"/>
      <c r="Y73" s="43"/>
      <c r="Z73" s="43"/>
      <c r="AA73" s="43"/>
      <c r="AB73" s="7"/>
      <c r="AC73" s="88"/>
      <c r="AD73" s="88"/>
      <c r="AE73" s="88"/>
      <c r="AF73" s="88"/>
      <c r="AG73" s="117">
        <v>11</v>
      </c>
    </row>
    <row r="74" spans="1:33" s="117" customFormat="1" ht="11.45" customHeight="1">
      <c r="A74" s="330"/>
      <c r="B74" s="46"/>
      <c r="C74" s="46"/>
      <c r="L74" s="43"/>
      <c r="M74" s="46"/>
      <c r="N74" s="46"/>
      <c r="O74" s="43"/>
      <c r="P74" s="43"/>
      <c r="Q74" s="43"/>
      <c r="R74" s="43"/>
      <c r="S74" s="46"/>
      <c r="T74" s="43"/>
      <c r="U74" s="43"/>
      <c r="V74" s="77"/>
      <c r="W74" s="43"/>
      <c r="X74" s="43"/>
      <c r="Y74" s="43"/>
      <c r="Z74" s="43"/>
      <c r="AA74" s="43"/>
      <c r="AB74" s="7"/>
      <c r="AC74" s="88"/>
      <c r="AD74" s="88"/>
      <c r="AE74" s="88"/>
      <c r="AF74" s="88"/>
      <c r="AG74" s="117">
        <v>11</v>
      </c>
    </row>
    <row r="75" spans="1:33" s="117" customFormat="1" ht="11.45" customHeight="1">
      <c r="A75" s="330"/>
      <c r="B75" s="46"/>
      <c r="C75" s="46"/>
      <c r="L75" s="43"/>
      <c r="M75" s="46"/>
      <c r="N75" s="46"/>
      <c r="O75" s="43"/>
      <c r="P75" s="43"/>
      <c r="Q75" s="43"/>
      <c r="R75" s="43"/>
      <c r="S75" s="46"/>
      <c r="T75" s="43"/>
      <c r="U75" s="43"/>
      <c r="V75" s="77"/>
      <c r="W75" s="43"/>
      <c r="X75" s="43"/>
      <c r="Y75" s="43"/>
      <c r="Z75" s="43"/>
      <c r="AA75" s="43"/>
      <c r="AB75" s="7"/>
      <c r="AC75" s="88"/>
      <c r="AD75" s="88"/>
      <c r="AE75" s="88"/>
      <c r="AF75" s="88"/>
      <c r="AG75" s="117">
        <v>11</v>
      </c>
    </row>
    <row r="76" spans="1:33" s="117" customFormat="1" ht="11.45" customHeight="1">
      <c r="A76" s="330"/>
      <c r="B76" s="46"/>
      <c r="C76" s="46"/>
      <c r="L76" s="43"/>
      <c r="M76" s="46"/>
      <c r="N76" s="46"/>
      <c r="O76" s="43"/>
      <c r="P76" s="43"/>
      <c r="Q76" s="43"/>
      <c r="R76" s="43"/>
      <c r="S76" s="46"/>
      <c r="T76" s="43"/>
      <c r="U76" s="43"/>
      <c r="V76" s="77"/>
      <c r="W76" s="43"/>
      <c r="X76" s="43"/>
      <c r="Y76" s="43"/>
      <c r="Z76" s="43"/>
      <c r="AA76" s="43"/>
      <c r="AB76" s="7"/>
      <c r="AC76" s="88"/>
      <c r="AD76" s="88"/>
      <c r="AE76" s="88"/>
      <c r="AF76" s="88"/>
      <c r="AG76" s="117">
        <v>11</v>
      </c>
    </row>
    <row r="77" spans="1:33" s="117" customFormat="1" ht="11.45" customHeight="1">
      <c r="A77" s="330"/>
      <c r="B77" s="46"/>
      <c r="C77" s="46"/>
      <c r="L77" s="43"/>
      <c r="M77" s="46"/>
      <c r="N77" s="46"/>
      <c r="O77" s="43"/>
      <c r="P77" s="43"/>
      <c r="Q77" s="43"/>
      <c r="R77" s="43"/>
      <c r="S77" s="46"/>
      <c r="T77" s="43"/>
      <c r="U77" s="43"/>
      <c r="V77" s="77"/>
      <c r="W77" s="43"/>
      <c r="X77" s="43"/>
      <c r="Y77" s="43"/>
      <c r="Z77" s="43"/>
      <c r="AA77" s="43"/>
      <c r="AB77" s="7"/>
      <c r="AC77" s="88"/>
      <c r="AD77" s="88"/>
      <c r="AE77" s="88"/>
      <c r="AF77" s="88"/>
      <c r="AG77" s="117">
        <v>11</v>
      </c>
    </row>
    <row r="78" spans="1:33" s="117" customFormat="1" ht="11.45" customHeight="1">
      <c r="A78" s="330"/>
      <c r="B78" s="46"/>
      <c r="C78" s="46"/>
      <c r="L78" s="43"/>
      <c r="M78" s="46"/>
      <c r="N78" s="46"/>
      <c r="O78" s="43"/>
      <c r="P78" s="43"/>
      <c r="Q78" s="43"/>
      <c r="R78" s="43"/>
      <c r="S78" s="46"/>
      <c r="T78" s="43"/>
      <c r="U78" s="43"/>
      <c r="V78" s="77"/>
      <c r="W78" s="43"/>
      <c r="X78" s="43"/>
      <c r="Y78" s="43"/>
      <c r="Z78" s="43"/>
      <c r="AA78" s="43"/>
      <c r="AB78" s="7"/>
      <c r="AC78" s="88"/>
      <c r="AD78" s="88"/>
      <c r="AE78" s="88"/>
      <c r="AF78" s="88"/>
      <c r="AG78" s="117">
        <v>11</v>
      </c>
    </row>
    <row r="79" spans="1:33" s="117" customFormat="1" ht="11.45" customHeight="1">
      <c r="A79" s="330"/>
      <c r="B79" s="46"/>
      <c r="C79" s="46"/>
      <c r="L79" s="43"/>
      <c r="M79" s="46"/>
      <c r="N79" s="46"/>
      <c r="O79" s="43"/>
      <c r="P79" s="43"/>
      <c r="Q79" s="43"/>
      <c r="R79" s="43"/>
      <c r="S79" s="46"/>
      <c r="T79" s="43"/>
      <c r="U79" s="43"/>
      <c r="V79" s="77"/>
      <c r="W79" s="43"/>
      <c r="X79" s="43"/>
      <c r="Y79" s="43"/>
      <c r="Z79" s="43"/>
      <c r="AA79" s="43"/>
      <c r="AB79" s="7"/>
      <c r="AC79" s="88"/>
      <c r="AD79" s="88"/>
      <c r="AE79" s="88"/>
      <c r="AF79" s="88"/>
      <c r="AG79" s="117">
        <v>11</v>
      </c>
    </row>
    <row r="80" spans="1:33" s="117" customFormat="1" ht="11.45" customHeight="1">
      <c r="A80" s="330"/>
      <c r="B80" s="46"/>
      <c r="C80" s="46"/>
      <c r="L80" s="43"/>
      <c r="M80" s="46"/>
      <c r="N80" s="46"/>
      <c r="O80" s="43"/>
      <c r="P80" s="43"/>
      <c r="Q80" s="43"/>
      <c r="R80" s="43"/>
      <c r="S80" s="46"/>
      <c r="T80" s="43"/>
      <c r="U80" s="43"/>
      <c r="V80" s="77"/>
      <c r="W80" s="43"/>
      <c r="X80" s="43"/>
      <c r="Y80" s="43"/>
      <c r="Z80" s="43"/>
      <c r="AA80" s="43"/>
      <c r="AB80" s="7"/>
      <c r="AC80" s="88"/>
      <c r="AD80" s="88"/>
      <c r="AE80" s="88"/>
      <c r="AF80" s="88"/>
      <c r="AG80" s="117">
        <v>11</v>
      </c>
    </row>
    <row r="81" spans="1:33" s="117" customFormat="1" ht="11.45" customHeight="1">
      <c r="A81" s="330"/>
      <c r="B81" s="46"/>
      <c r="C81" s="46"/>
      <c r="L81" s="43"/>
      <c r="M81" s="46"/>
      <c r="N81" s="46"/>
      <c r="O81" s="43"/>
      <c r="P81" s="43"/>
      <c r="Q81" s="43"/>
      <c r="R81" s="43"/>
      <c r="S81" s="46"/>
      <c r="T81" s="43"/>
      <c r="U81" s="43"/>
      <c r="V81" s="77"/>
      <c r="W81" s="43"/>
      <c r="X81" s="43"/>
      <c r="Y81" s="43"/>
      <c r="Z81" s="43"/>
      <c r="AA81" s="43"/>
      <c r="AB81" s="7"/>
      <c r="AC81" s="88"/>
      <c r="AD81" s="88"/>
      <c r="AE81" s="88"/>
      <c r="AF81" s="88"/>
      <c r="AG81" s="117">
        <v>11</v>
      </c>
    </row>
    <row r="82" spans="1:33" s="117" customFormat="1" ht="11.45" customHeight="1">
      <c r="A82" s="330"/>
      <c r="B82" s="46"/>
      <c r="C82" s="46"/>
      <c r="L82" s="43"/>
      <c r="M82" s="46"/>
      <c r="N82" s="46"/>
      <c r="O82" s="43"/>
      <c r="P82" s="43"/>
      <c r="Q82" s="43"/>
      <c r="R82" s="43"/>
      <c r="S82" s="46"/>
      <c r="T82" s="43"/>
      <c r="U82" s="43"/>
      <c r="V82" s="77"/>
      <c r="W82" s="43"/>
      <c r="X82" s="43"/>
      <c r="Y82" s="43"/>
      <c r="Z82" s="43"/>
      <c r="AA82" s="43"/>
      <c r="AB82" s="7"/>
      <c r="AC82" s="88"/>
      <c r="AD82" s="88"/>
      <c r="AE82" s="88"/>
      <c r="AF82" s="88"/>
      <c r="AG82" s="117">
        <v>11</v>
      </c>
    </row>
    <row r="83" spans="1:33" s="117" customFormat="1" ht="11.45" customHeight="1">
      <c r="A83" s="330"/>
      <c r="B83" s="46"/>
      <c r="C83" s="46"/>
      <c r="L83" s="43"/>
      <c r="M83" s="46"/>
      <c r="N83" s="46"/>
      <c r="O83" s="43"/>
      <c r="P83" s="43"/>
      <c r="Q83" s="43"/>
      <c r="R83" s="43"/>
      <c r="S83" s="46"/>
      <c r="T83" s="43"/>
      <c r="U83" s="43"/>
      <c r="V83" s="77"/>
      <c r="W83" s="43"/>
      <c r="X83" s="43"/>
      <c r="Y83" s="43"/>
      <c r="Z83" s="43"/>
      <c r="AA83" s="43"/>
      <c r="AB83" s="7"/>
      <c r="AC83" s="88"/>
      <c r="AD83" s="88"/>
      <c r="AE83" s="88"/>
      <c r="AF83" s="88"/>
      <c r="AG83" s="117">
        <v>11</v>
      </c>
    </row>
    <row r="84" spans="1:33" s="117" customFormat="1" ht="11.45" customHeight="1">
      <c r="A84" s="330"/>
      <c r="B84" s="46"/>
      <c r="C84" s="46"/>
      <c r="L84" s="43"/>
      <c r="M84" s="46"/>
      <c r="N84" s="46"/>
      <c r="O84" s="43"/>
      <c r="P84" s="43"/>
      <c r="Q84" s="43"/>
      <c r="R84" s="43"/>
      <c r="S84" s="46"/>
      <c r="T84" s="43"/>
      <c r="U84" s="43"/>
      <c r="V84" s="77"/>
      <c r="W84" s="43"/>
      <c r="X84" s="43"/>
      <c r="Y84" s="43"/>
      <c r="Z84" s="43"/>
      <c r="AA84" s="43"/>
      <c r="AB84" s="7"/>
      <c r="AC84" s="88"/>
      <c r="AD84" s="88"/>
      <c r="AE84" s="88"/>
      <c r="AF84" s="88"/>
      <c r="AG84" s="117">
        <v>11</v>
      </c>
    </row>
    <row r="85" spans="1:33" s="117" customFormat="1" ht="11.45" customHeight="1">
      <c r="A85" s="330"/>
      <c r="B85" s="46"/>
      <c r="C85" s="46"/>
      <c r="L85" s="43"/>
      <c r="M85" s="46"/>
      <c r="N85" s="46"/>
      <c r="O85" s="43"/>
      <c r="P85" s="43"/>
      <c r="Q85" s="43"/>
      <c r="R85" s="43"/>
      <c r="S85" s="46"/>
      <c r="T85" s="43"/>
      <c r="U85" s="43"/>
      <c r="V85" s="77"/>
      <c r="W85" s="43"/>
      <c r="X85" s="43"/>
      <c r="Y85" s="43"/>
      <c r="Z85" s="43"/>
      <c r="AA85" s="43"/>
      <c r="AB85" s="7"/>
      <c r="AC85" s="88"/>
      <c r="AD85" s="88"/>
      <c r="AE85" s="88"/>
      <c r="AF85" s="88"/>
      <c r="AG85" s="117">
        <v>11</v>
      </c>
    </row>
    <row r="86" spans="1:33" s="117" customFormat="1" ht="11.45" customHeight="1">
      <c r="A86" s="330"/>
      <c r="B86" s="46"/>
      <c r="C86" s="46"/>
      <c r="L86" s="43"/>
      <c r="M86" s="46"/>
      <c r="N86" s="46"/>
      <c r="O86" s="43"/>
      <c r="P86" s="43"/>
      <c r="Q86" s="43"/>
      <c r="R86" s="43"/>
      <c r="S86" s="46"/>
      <c r="T86" s="43"/>
      <c r="U86" s="43"/>
      <c r="V86" s="77"/>
      <c r="W86" s="43"/>
      <c r="X86" s="43"/>
      <c r="Y86" s="43"/>
      <c r="Z86" s="43"/>
      <c r="AA86" s="43"/>
      <c r="AB86" s="7"/>
      <c r="AC86" s="88"/>
      <c r="AD86" s="88"/>
      <c r="AE86" s="88"/>
      <c r="AF86" s="88"/>
      <c r="AG86" s="117">
        <v>11</v>
      </c>
    </row>
    <row r="87" spans="1:33" s="117" customFormat="1" ht="11.45" customHeight="1">
      <c r="A87" s="330"/>
      <c r="B87" s="46"/>
      <c r="C87" s="46"/>
      <c r="L87" s="43"/>
      <c r="M87" s="46"/>
      <c r="N87" s="46"/>
      <c r="O87" s="43"/>
      <c r="P87" s="43"/>
      <c r="Q87" s="43"/>
      <c r="R87" s="43"/>
      <c r="S87" s="46"/>
      <c r="T87" s="43"/>
      <c r="U87" s="43"/>
      <c r="V87" s="77"/>
      <c r="W87" s="43"/>
      <c r="X87" s="43"/>
      <c r="Y87" s="43"/>
      <c r="Z87" s="43"/>
      <c r="AA87" s="43"/>
      <c r="AB87" s="7"/>
      <c r="AC87" s="88"/>
      <c r="AD87" s="88"/>
      <c r="AE87" s="88"/>
      <c r="AF87" s="88"/>
      <c r="AG87" s="117">
        <v>11</v>
      </c>
    </row>
    <row r="88" spans="1:33" s="117" customFormat="1" ht="11.45" customHeight="1">
      <c r="A88" s="330"/>
      <c r="B88" s="46"/>
      <c r="C88" s="46"/>
      <c r="L88" s="43"/>
      <c r="M88" s="46"/>
      <c r="N88" s="46"/>
      <c r="O88" s="43"/>
      <c r="P88" s="43"/>
      <c r="Q88" s="43"/>
      <c r="R88" s="43"/>
      <c r="S88" s="46"/>
      <c r="T88" s="43"/>
      <c r="U88" s="43"/>
      <c r="V88" s="77"/>
      <c r="W88" s="43"/>
      <c r="X88" s="43"/>
      <c r="Y88" s="43"/>
      <c r="Z88" s="43"/>
      <c r="AA88" s="43"/>
      <c r="AB88" s="7"/>
      <c r="AC88" s="88"/>
      <c r="AD88" s="88"/>
      <c r="AE88" s="88"/>
      <c r="AF88" s="88"/>
      <c r="AG88" s="117">
        <v>11</v>
      </c>
    </row>
    <row r="89" spans="1:33" s="117" customFormat="1" ht="11.45" customHeight="1">
      <c r="A89" s="330"/>
      <c r="B89" s="46"/>
      <c r="C89" s="46"/>
      <c r="L89" s="43"/>
      <c r="M89" s="46"/>
      <c r="N89" s="46"/>
      <c r="O89" s="43"/>
      <c r="P89" s="43"/>
      <c r="Q89" s="43"/>
      <c r="R89" s="43"/>
      <c r="S89" s="46"/>
      <c r="T89" s="43"/>
      <c r="U89" s="43"/>
      <c r="V89" s="77"/>
      <c r="W89" s="43"/>
      <c r="X89" s="43"/>
      <c r="Y89" s="43"/>
      <c r="Z89" s="43"/>
      <c r="AA89" s="43"/>
      <c r="AB89" s="7"/>
      <c r="AC89" s="88"/>
      <c r="AD89" s="88"/>
      <c r="AE89" s="88"/>
      <c r="AF89" s="88"/>
      <c r="AG89" s="117">
        <v>11</v>
      </c>
    </row>
    <row r="90" spans="1:33" s="117" customFormat="1" ht="11.45" customHeight="1">
      <c r="A90" s="330"/>
      <c r="B90" s="46"/>
      <c r="C90" s="46"/>
      <c r="L90" s="43"/>
      <c r="M90" s="46"/>
      <c r="N90" s="46"/>
      <c r="O90" s="43"/>
      <c r="P90" s="43"/>
      <c r="Q90" s="43"/>
      <c r="R90" s="43"/>
      <c r="S90" s="46"/>
      <c r="T90" s="43"/>
      <c r="U90" s="43"/>
      <c r="V90" s="77"/>
      <c r="W90" s="43"/>
      <c r="X90" s="43"/>
      <c r="Y90" s="43"/>
      <c r="Z90" s="43"/>
      <c r="AA90" s="43"/>
      <c r="AB90" s="7"/>
      <c r="AC90" s="88"/>
      <c r="AD90" s="88"/>
      <c r="AE90" s="88"/>
      <c r="AF90" s="88"/>
      <c r="AG90" s="117">
        <v>11</v>
      </c>
    </row>
    <row r="91" spans="1:33" s="117" customFormat="1" ht="11.45" customHeight="1">
      <c r="A91" s="330"/>
      <c r="B91" s="46"/>
      <c r="C91" s="46"/>
      <c r="L91" s="43"/>
      <c r="M91" s="46"/>
      <c r="N91" s="46"/>
      <c r="O91" s="43"/>
      <c r="P91" s="43"/>
      <c r="Q91" s="43"/>
      <c r="R91" s="43"/>
      <c r="S91" s="46"/>
      <c r="T91" s="43"/>
      <c r="U91" s="43"/>
      <c r="V91" s="77"/>
      <c r="W91" s="43"/>
      <c r="X91" s="43"/>
      <c r="Y91" s="43"/>
      <c r="Z91" s="43"/>
      <c r="AA91" s="43"/>
      <c r="AB91" s="7"/>
      <c r="AC91" s="88"/>
      <c r="AD91" s="88"/>
      <c r="AE91" s="88"/>
      <c r="AF91" s="88"/>
      <c r="AG91" s="117">
        <v>11</v>
      </c>
    </row>
    <row r="92" spans="1:33" s="117" customFormat="1" ht="11.45" customHeight="1">
      <c r="A92" s="330"/>
      <c r="B92" s="46"/>
      <c r="C92" s="46"/>
      <c r="L92" s="43"/>
      <c r="M92" s="46"/>
      <c r="N92" s="46"/>
      <c r="O92" s="43"/>
      <c r="P92" s="43"/>
      <c r="Q92" s="43"/>
      <c r="R92" s="43"/>
      <c r="S92" s="46"/>
      <c r="T92" s="43"/>
      <c r="U92" s="43"/>
      <c r="V92" s="77"/>
      <c r="W92" s="43"/>
      <c r="X92" s="43"/>
      <c r="Y92" s="43"/>
      <c r="Z92" s="43"/>
      <c r="AA92" s="43"/>
      <c r="AB92" s="7"/>
      <c r="AC92" s="88"/>
      <c r="AD92" s="88"/>
      <c r="AE92" s="88"/>
      <c r="AF92" s="88"/>
      <c r="AG92" s="117">
        <v>11</v>
      </c>
    </row>
    <row r="93" spans="1:33" s="117" customFormat="1" ht="11.45" customHeight="1">
      <c r="A93" s="330"/>
      <c r="B93" s="46"/>
      <c r="C93" s="46"/>
      <c r="L93" s="43"/>
      <c r="M93" s="46"/>
      <c r="N93" s="46"/>
      <c r="O93" s="43"/>
      <c r="P93" s="43"/>
      <c r="Q93" s="43"/>
      <c r="R93" s="43"/>
      <c r="S93" s="46"/>
      <c r="T93" s="43"/>
      <c r="U93" s="43"/>
      <c r="V93" s="77"/>
      <c r="W93" s="43"/>
      <c r="X93" s="43"/>
      <c r="Y93" s="43"/>
      <c r="Z93" s="43"/>
      <c r="AA93" s="43"/>
      <c r="AB93" s="7"/>
      <c r="AC93" s="88"/>
      <c r="AD93" s="88"/>
      <c r="AE93" s="88"/>
      <c r="AF93" s="88"/>
      <c r="AG93" s="117">
        <v>11</v>
      </c>
    </row>
    <row r="94" spans="1:33" s="117" customFormat="1" ht="11.45" customHeight="1">
      <c r="A94" s="330"/>
      <c r="B94" s="46"/>
      <c r="C94" s="46"/>
      <c r="L94" s="43"/>
      <c r="M94" s="46"/>
      <c r="N94" s="46"/>
      <c r="O94" s="43"/>
      <c r="P94" s="43"/>
      <c r="Q94" s="43"/>
      <c r="R94" s="43"/>
      <c r="S94" s="46"/>
      <c r="T94" s="43"/>
      <c r="U94" s="43"/>
      <c r="V94" s="77"/>
      <c r="W94" s="43"/>
      <c r="X94" s="43"/>
      <c r="Y94" s="43"/>
      <c r="Z94" s="43"/>
      <c r="AA94" s="43"/>
      <c r="AB94" s="7"/>
      <c r="AC94" s="88"/>
      <c r="AD94" s="88"/>
      <c r="AE94" s="88"/>
      <c r="AF94" s="88"/>
      <c r="AG94" s="117">
        <v>11</v>
      </c>
    </row>
    <row r="95" spans="1:33" s="117" customFormat="1" ht="11.45" customHeight="1">
      <c r="A95" s="330"/>
      <c r="B95" s="46"/>
      <c r="C95" s="46"/>
      <c r="L95" s="43"/>
      <c r="M95" s="46"/>
      <c r="N95" s="46"/>
      <c r="O95" s="43"/>
      <c r="P95" s="43"/>
      <c r="Q95" s="43"/>
      <c r="R95" s="43"/>
      <c r="S95" s="46"/>
      <c r="T95" s="43"/>
      <c r="U95" s="43"/>
      <c r="V95" s="77"/>
      <c r="W95" s="43"/>
      <c r="X95" s="43"/>
      <c r="Y95" s="43"/>
      <c r="Z95" s="43"/>
      <c r="AA95" s="43"/>
      <c r="AB95" s="7"/>
      <c r="AC95" s="88"/>
      <c r="AD95" s="88"/>
      <c r="AE95" s="88"/>
      <c r="AF95" s="88"/>
      <c r="AG95" s="117">
        <v>11</v>
      </c>
    </row>
    <row r="96" spans="1:33" s="117" customFormat="1" ht="11.45" customHeight="1">
      <c r="A96" s="330"/>
      <c r="B96" s="46"/>
      <c r="C96" s="46"/>
      <c r="L96" s="43"/>
      <c r="M96" s="46"/>
      <c r="N96" s="46"/>
      <c r="O96" s="43"/>
      <c r="P96" s="43"/>
      <c r="Q96" s="43"/>
      <c r="R96" s="43"/>
      <c r="S96" s="46"/>
      <c r="T96" s="43"/>
      <c r="U96" s="43"/>
      <c r="V96" s="77"/>
      <c r="W96" s="43"/>
      <c r="X96" s="43"/>
      <c r="Y96" s="43"/>
      <c r="Z96" s="43"/>
      <c r="AA96" s="43"/>
      <c r="AB96" s="7"/>
      <c r="AC96" s="88"/>
      <c r="AD96" s="88"/>
      <c r="AE96" s="88"/>
      <c r="AF96" s="88"/>
      <c r="AG96" s="117">
        <v>11</v>
      </c>
    </row>
    <row r="97" spans="1:33" s="117" customFormat="1" ht="11.45" customHeight="1">
      <c r="A97" s="330"/>
      <c r="B97" s="46"/>
      <c r="C97" s="46"/>
      <c r="L97" s="43"/>
      <c r="M97" s="46"/>
      <c r="N97" s="46"/>
      <c r="O97" s="43"/>
      <c r="P97" s="43"/>
      <c r="Q97" s="43"/>
      <c r="R97" s="43"/>
      <c r="S97" s="46"/>
      <c r="T97" s="43"/>
      <c r="U97" s="43"/>
      <c r="V97" s="77"/>
      <c r="W97" s="43"/>
      <c r="X97" s="43"/>
      <c r="Y97" s="43"/>
      <c r="Z97" s="43"/>
      <c r="AA97" s="43"/>
      <c r="AB97" s="7"/>
      <c r="AC97" s="88"/>
      <c r="AD97" s="88"/>
      <c r="AE97" s="88"/>
      <c r="AF97" s="88"/>
      <c r="AG97" s="117">
        <v>11</v>
      </c>
    </row>
    <row r="98" spans="1:33" s="117" customFormat="1" ht="11.45" customHeight="1">
      <c r="A98" s="330"/>
      <c r="B98" s="46"/>
      <c r="C98" s="46"/>
      <c r="L98" s="43"/>
      <c r="M98" s="46"/>
      <c r="N98" s="46"/>
      <c r="O98" s="43"/>
      <c r="P98" s="43"/>
      <c r="Q98" s="43"/>
      <c r="R98" s="43"/>
      <c r="S98" s="46"/>
      <c r="T98" s="43"/>
      <c r="U98" s="43"/>
      <c r="V98" s="77"/>
      <c r="W98" s="43"/>
      <c r="X98" s="43"/>
      <c r="Y98" s="43"/>
      <c r="Z98" s="43"/>
      <c r="AA98" s="43"/>
      <c r="AB98" s="7"/>
      <c r="AC98" s="88"/>
      <c r="AD98" s="88"/>
      <c r="AE98" s="88"/>
      <c r="AF98" s="88"/>
      <c r="AG98" s="117">
        <v>11</v>
      </c>
    </row>
    <row r="99" spans="1:33" s="117" customFormat="1" ht="11.45" customHeight="1">
      <c r="A99" s="330"/>
      <c r="B99" s="46"/>
      <c r="C99" s="46"/>
      <c r="L99" s="43"/>
      <c r="M99" s="46"/>
      <c r="N99" s="46"/>
      <c r="O99" s="43"/>
      <c r="P99" s="43"/>
      <c r="Q99" s="43"/>
      <c r="R99" s="43"/>
      <c r="S99" s="46"/>
      <c r="T99" s="43"/>
      <c r="U99" s="43"/>
      <c r="V99" s="77"/>
      <c r="W99" s="43"/>
      <c r="X99" s="43"/>
      <c r="Y99" s="43"/>
      <c r="Z99" s="43"/>
      <c r="AA99" s="43"/>
      <c r="AB99" s="7"/>
      <c r="AC99" s="88"/>
      <c r="AD99" s="88"/>
      <c r="AE99" s="88"/>
      <c r="AF99" s="88"/>
      <c r="AG99" s="117">
        <v>11</v>
      </c>
    </row>
    <row r="100" spans="1:33" s="117" customFormat="1" ht="11.45" customHeight="1">
      <c r="A100" s="330"/>
      <c r="B100" s="46"/>
      <c r="C100" s="46"/>
      <c r="L100" s="43"/>
      <c r="M100" s="46"/>
      <c r="N100" s="46"/>
      <c r="O100" s="43"/>
      <c r="P100" s="43"/>
      <c r="Q100" s="43"/>
      <c r="R100" s="43"/>
      <c r="S100" s="46"/>
      <c r="T100" s="43"/>
      <c r="U100" s="43"/>
      <c r="V100" s="77"/>
      <c r="W100" s="43"/>
      <c r="X100" s="43"/>
      <c r="Y100" s="43"/>
      <c r="Z100" s="43"/>
      <c r="AA100" s="43"/>
      <c r="AB100" s="7"/>
      <c r="AC100" s="88"/>
      <c r="AD100" s="88"/>
      <c r="AE100" s="88"/>
      <c r="AF100" s="88"/>
      <c r="AG100" s="117">
        <v>11</v>
      </c>
    </row>
    <row r="101" spans="1:33" s="117" customFormat="1" ht="11.45" customHeight="1">
      <c r="A101" s="330"/>
      <c r="B101" s="46"/>
      <c r="C101" s="46"/>
      <c r="L101" s="43"/>
      <c r="M101" s="46"/>
      <c r="N101" s="46"/>
      <c r="O101" s="43"/>
      <c r="P101" s="43"/>
      <c r="Q101" s="43"/>
      <c r="R101" s="43"/>
      <c r="S101" s="46"/>
      <c r="T101" s="43"/>
      <c r="U101" s="43"/>
      <c r="V101" s="77"/>
      <c r="W101" s="43"/>
      <c r="X101" s="43"/>
      <c r="Y101" s="43"/>
      <c r="Z101" s="43"/>
      <c r="AA101" s="43"/>
      <c r="AB101" s="7"/>
      <c r="AC101" s="88"/>
      <c r="AD101" s="88"/>
      <c r="AE101" s="88"/>
      <c r="AF101" s="88"/>
      <c r="AG101" s="117">
        <v>11</v>
      </c>
    </row>
    <row r="102" spans="1:33" s="117" customFormat="1" ht="11.45" customHeight="1">
      <c r="A102" s="330"/>
      <c r="B102" s="46"/>
      <c r="C102" s="46"/>
      <c r="L102" s="43"/>
      <c r="M102" s="46"/>
      <c r="N102" s="46"/>
      <c r="O102" s="43"/>
      <c r="P102" s="43"/>
      <c r="Q102" s="43"/>
      <c r="R102" s="43"/>
      <c r="S102" s="46"/>
      <c r="T102" s="43"/>
      <c r="U102" s="43"/>
      <c r="V102" s="77"/>
      <c r="W102" s="43"/>
      <c r="X102" s="43"/>
      <c r="Y102" s="43"/>
      <c r="Z102" s="43"/>
      <c r="AA102" s="43"/>
      <c r="AB102" s="7"/>
      <c r="AC102" s="88"/>
      <c r="AD102" s="88"/>
      <c r="AE102" s="88"/>
      <c r="AF102" s="88"/>
      <c r="AG102" s="117">
        <v>11</v>
      </c>
    </row>
    <row r="103" spans="1:33" s="117" customFormat="1" ht="11.45" customHeight="1">
      <c r="A103" s="330"/>
      <c r="B103" s="46"/>
      <c r="C103" s="46"/>
      <c r="L103" s="43"/>
      <c r="M103" s="46"/>
      <c r="N103" s="46"/>
      <c r="O103" s="43"/>
      <c r="P103" s="43"/>
      <c r="Q103" s="43"/>
      <c r="R103" s="43"/>
      <c r="S103" s="46"/>
      <c r="T103" s="43"/>
      <c r="U103" s="43"/>
      <c r="V103" s="77"/>
      <c r="W103" s="43"/>
      <c r="X103" s="43"/>
      <c r="Y103" s="43"/>
      <c r="Z103" s="43"/>
      <c r="AA103" s="43"/>
      <c r="AB103" s="7"/>
      <c r="AC103" s="88"/>
      <c r="AD103" s="88"/>
      <c r="AE103" s="88"/>
      <c r="AF103" s="88"/>
      <c r="AG103" s="117">
        <v>11</v>
      </c>
    </row>
    <row r="104" spans="1:33" s="117" customFormat="1" ht="11.45" customHeight="1">
      <c r="A104" s="330"/>
      <c r="B104" s="46"/>
      <c r="C104" s="46"/>
      <c r="L104" s="43"/>
      <c r="M104" s="46"/>
      <c r="N104" s="46"/>
      <c r="O104" s="43"/>
      <c r="P104" s="43"/>
      <c r="Q104" s="43"/>
      <c r="R104" s="43"/>
      <c r="S104" s="46"/>
      <c r="T104" s="43"/>
      <c r="U104" s="43"/>
      <c r="V104" s="77"/>
      <c r="W104" s="43"/>
      <c r="X104" s="43"/>
      <c r="Y104" s="43"/>
      <c r="Z104" s="43"/>
      <c r="AA104" s="43"/>
      <c r="AB104" s="7"/>
      <c r="AC104" s="88"/>
      <c r="AD104" s="88"/>
      <c r="AE104" s="88"/>
      <c r="AF104" s="88"/>
      <c r="AG104" s="117">
        <v>11</v>
      </c>
    </row>
    <row r="105" spans="1:33" s="117" customFormat="1" ht="11.45" customHeight="1">
      <c r="A105" s="330"/>
      <c r="B105" s="46"/>
      <c r="C105" s="46"/>
      <c r="L105" s="43"/>
      <c r="M105" s="46"/>
      <c r="N105" s="46"/>
      <c r="O105" s="43"/>
      <c r="P105" s="43"/>
      <c r="Q105" s="43"/>
      <c r="R105" s="43"/>
      <c r="S105" s="46"/>
      <c r="T105" s="43"/>
      <c r="U105" s="43"/>
      <c r="V105" s="77"/>
      <c r="W105" s="43"/>
      <c r="X105" s="43"/>
      <c r="Y105" s="43"/>
      <c r="Z105" s="43"/>
      <c r="AA105" s="43"/>
      <c r="AB105" s="7"/>
      <c r="AC105" s="88"/>
      <c r="AD105" s="88"/>
      <c r="AE105" s="88"/>
      <c r="AF105" s="88"/>
      <c r="AG105" s="117">
        <v>11</v>
      </c>
    </row>
    <row r="106" spans="1:33" s="117" customFormat="1" ht="11.45" customHeight="1">
      <c r="A106" s="330"/>
      <c r="B106" s="46"/>
      <c r="C106" s="46"/>
      <c r="L106" s="43"/>
      <c r="M106" s="46"/>
      <c r="N106" s="46"/>
      <c r="O106" s="43"/>
      <c r="P106" s="43"/>
      <c r="Q106" s="43"/>
      <c r="R106" s="43"/>
      <c r="S106" s="46"/>
      <c r="T106" s="43"/>
      <c r="U106" s="43"/>
      <c r="V106" s="77"/>
      <c r="W106" s="43"/>
      <c r="X106" s="43"/>
      <c r="Y106" s="43"/>
      <c r="Z106" s="43"/>
      <c r="AA106" s="43"/>
      <c r="AB106" s="7"/>
      <c r="AC106" s="88"/>
      <c r="AD106" s="88"/>
      <c r="AE106" s="88"/>
      <c r="AF106" s="88"/>
      <c r="AG106" s="117">
        <v>11</v>
      </c>
    </row>
    <row r="107" spans="1:33" s="117" customFormat="1" ht="11.45" customHeight="1">
      <c r="A107" s="330"/>
      <c r="B107" s="46"/>
      <c r="C107" s="46"/>
      <c r="L107" s="43"/>
      <c r="M107" s="46"/>
      <c r="N107" s="46"/>
      <c r="O107" s="43"/>
      <c r="P107" s="43"/>
      <c r="Q107" s="43"/>
      <c r="R107" s="43"/>
      <c r="S107" s="46"/>
      <c r="T107" s="43"/>
      <c r="U107" s="43"/>
      <c r="V107" s="77"/>
      <c r="W107" s="43"/>
      <c r="X107" s="43"/>
      <c r="Y107" s="43"/>
      <c r="Z107" s="43"/>
      <c r="AA107" s="43"/>
      <c r="AB107" s="7"/>
      <c r="AC107" s="88"/>
      <c r="AD107" s="88"/>
      <c r="AE107" s="88"/>
      <c r="AF107" s="88"/>
      <c r="AG107" s="117">
        <v>11</v>
      </c>
    </row>
    <row r="108" spans="1:33" s="117" customFormat="1" ht="11.45" customHeight="1">
      <c r="A108" s="330"/>
      <c r="B108" s="46"/>
      <c r="C108" s="46"/>
      <c r="L108" s="43"/>
      <c r="M108" s="46"/>
      <c r="N108" s="46"/>
      <c r="O108" s="43"/>
      <c r="P108" s="43"/>
      <c r="Q108" s="43"/>
      <c r="R108" s="43"/>
      <c r="S108" s="46"/>
      <c r="T108" s="43"/>
      <c r="U108" s="43"/>
      <c r="V108" s="77"/>
      <c r="W108" s="43"/>
      <c r="X108" s="43"/>
      <c r="Y108" s="43"/>
      <c r="Z108" s="43"/>
      <c r="AA108" s="43"/>
      <c r="AB108" s="7"/>
      <c r="AC108" s="88"/>
      <c r="AD108" s="88"/>
      <c r="AE108" s="88"/>
      <c r="AF108" s="88"/>
      <c r="AG108" s="117">
        <v>11</v>
      </c>
    </row>
    <row r="109" spans="1:33" s="117" customFormat="1" ht="11.45" customHeight="1">
      <c r="A109" s="330"/>
      <c r="B109" s="46"/>
      <c r="C109" s="46"/>
      <c r="L109" s="43"/>
      <c r="M109" s="46"/>
      <c r="N109" s="46"/>
      <c r="O109" s="43"/>
      <c r="P109" s="43"/>
      <c r="Q109" s="43"/>
      <c r="R109" s="43"/>
      <c r="S109" s="46"/>
      <c r="T109" s="43"/>
      <c r="U109" s="43"/>
      <c r="V109" s="77"/>
      <c r="W109" s="43"/>
      <c r="X109" s="43"/>
      <c r="Y109" s="43"/>
      <c r="Z109" s="43"/>
      <c r="AA109" s="43"/>
      <c r="AB109" s="7"/>
      <c r="AC109" s="88"/>
      <c r="AD109" s="88"/>
      <c r="AE109" s="88"/>
      <c r="AF109" s="88"/>
      <c r="AG109" s="117">
        <v>11</v>
      </c>
    </row>
    <row r="110" spans="1:33" s="117" customFormat="1" ht="11.45" customHeight="1">
      <c r="A110" s="330"/>
      <c r="B110" s="46"/>
      <c r="C110" s="46"/>
      <c r="L110" s="43"/>
      <c r="M110" s="46"/>
      <c r="N110" s="46"/>
      <c r="O110" s="43"/>
      <c r="P110" s="43"/>
      <c r="Q110" s="43"/>
      <c r="R110" s="43"/>
      <c r="S110" s="46"/>
      <c r="T110" s="43"/>
      <c r="U110" s="43"/>
      <c r="V110" s="77"/>
      <c r="W110" s="43"/>
      <c r="X110" s="43"/>
      <c r="Y110" s="43"/>
      <c r="Z110" s="43"/>
      <c r="AA110" s="43"/>
      <c r="AB110" s="7"/>
      <c r="AC110" s="88"/>
      <c r="AD110" s="88"/>
      <c r="AE110" s="88"/>
      <c r="AF110" s="88"/>
      <c r="AG110" s="117">
        <v>11</v>
      </c>
    </row>
    <row r="111" spans="1:33" s="117" customFormat="1" ht="11.45" customHeight="1">
      <c r="A111" s="330"/>
      <c r="B111" s="46"/>
      <c r="C111" s="46"/>
      <c r="L111" s="43"/>
      <c r="M111" s="46"/>
      <c r="N111" s="46"/>
      <c r="O111" s="43"/>
      <c r="P111" s="43"/>
      <c r="Q111" s="43"/>
      <c r="R111" s="43"/>
      <c r="S111" s="46"/>
      <c r="T111" s="43"/>
      <c r="U111" s="43"/>
      <c r="V111" s="77"/>
      <c r="W111" s="43"/>
      <c r="X111" s="43"/>
      <c r="Y111" s="43"/>
      <c r="Z111" s="43"/>
      <c r="AA111" s="43"/>
      <c r="AB111" s="7"/>
      <c r="AC111" s="88"/>
      <c r="AD111" s="88"/>
      <c r="AE111" s="88"/>
      <c r="AF111" s="88"/>
      <c r="AG111" s="117">
        <v>11</v>
      </c>
    </row>
    <row r="112" spans="1:33" s="117" customFormat="1" ht="11.45" customHeight="1">
      <c r="A112" s="330"/>
      <c r="B112" s="46"/>
      <c r="C112" s="46"/>
      <c r="L112" s="43"/>
      <c r="M112" s="46"/>
      <c r="N112" s="46"/>
      <c r="O112" s="43"/>
      <c r="P112" s="43"/>
      <c r="Q112" s="43"/>
      <c r="R112" s="43"/>
      <c r="S112" s="46"/>
      <c r="T112" s="43"/>
      <c r="U112" s="43"/>
      <c r="V112" s="77"/>
      <c r="W112" s="43"/>
      <c r="X112" s="43"/>
      <c r="Y112" s="43"/>
      <c r="Z112" s="43"/>
      <c r="AA112" s="43"/>
      <c r="AB112" s="7"/>
      <c r="AC112" s="88"/>
      <c r="AD112" s="88"/>
      <c r="AE112" s="88"/>
      <c r="AF112" s="88"/>
      <c r="AG112" s="117">
        <v>11</v>
      </c>
    </row>
    <row r="113" spans="1:33" s="117" customFormat="1" ht="11.45" customHeight="1">
      <c r="A113" s="330"/>
      <c r="B113" s="46"/>
      <c r="C113" s="46"/>
      <c r="L113" s="43"/>
      <c r="M113" s="46"/>
      <c r="N113" s="46"/>
      <c r="O113" s="43"/>
      <c r="P113" s="43"/>
      <c r="Q113" s="43"/>
      <c r="R113" s="43"/>
      <c r="S113" s="46"/>
      <c r="T113" s="43"/>
      <c r="U113" s="43"/>
      <c r="V113" s="77"/>
      <c r="W113" s="43"/>
      <c r="X113" s="43"/>
      <c r="Y113" s="43"/>
      <c r="Z113" s="43"/>
      <c r="AA113" s="43"/>
      <c r="AB113" s="7"/>
      <c r="AC113" s="88"/>
      <c r="AD113" s="88"/>
      <c r="AE113" s="88"/>
      <c r="AF113" s="88"/>
      <c r="AG113" s="117">
        <v>11</v>
      </c>
    </row>
    <row r="114" spans="1:33" s="117" customFormat="1" ht="11.45" customHeight="1">
      <c r="A114" s="330"/>
      <c r="B114" s="46"/>
      <c r="C114" s="46"/>
      <c r="L114" s="43"/>
      <c r="M114" s="46"/>
      <c r="N114" s="46"/>
      <c r="O114" s="43"/>
      <c r="P114" s="43"/>
      <c r="Q114" s="43"/>
      <c r="R114" s="43"/>
      <c r="S114" s="46"/>
      <c r="T114" s="43"/>
      <c r="U114" s="43"/>
      <c r="V114" s="77"/>
      <c r="W114" s="43"/>
      <c r="X114" s="43"/>
      <c r="Y114" s="43"/>
      <c r="Z114" s="43"/>
      <c r="AA114" s="43"/>
      <c r="AB114" s="7"/>
      <c r="AC114" s="88"/>
      <c r="AD114" s="88"/>
      <c r="AE114" s="88"/>
      <c r="AF114" s="88"/>
      <c r="AG114" s="117">
        <v>11</v>
      </c>
    </row>
    <row r="115" spans="1:33" s="117" customFormat="1" ht="11.45" customHeight="1">
      <c r="A115" s="330"/>
      <c r="B115" s="46"/>
      <c r="C115" s="46"/>
      <c r="L115" s="43"/>
      <c r="M115" s="46"/>
      <c r="N115" s="46"/>
      <c r="O115" s="43"/>
      <c r="P115" s="43"/>
      <c r="Q115" s="43"/>
      <c r="R115" s="43"/>
      <c r="S115" s="46"/>
      <c r="T115" s="43"/>
      <c r="U115" s="43"/>
      <c r="V115" s="77"/>
      <c r="W115" s="43"/>
      <c r="X115" s="43"/>
      <c r="Y115" s="43"/>
      <c r="Z115" s="43"/>
      <c r="AA115" s="43"/>
      <c r="AB115" s="7"/>
      <c r="AC115" s="88"/>
      <c r="AD115" s="88"/>
      <c r="AE115" s="88"/>
      <c r="AF115" s="88"/>
      <c r="AG115" s="117">
        <v>11</v>
      </c>
    </row>
    <row r="116" spans="1:33" s="117" customFormat="1" ht="11.45" customHeight="1">
      <c r="A116" s="330"/>
      <c r="B116" s="46"/>
      <c r="C116" s="46"/>
      <c r="L116" s="43"/>
      <c r="M116" s="46"/>
      <c r="N116" s="46"/>
      <c r="O116" s="43"/>
      <c r="P116" s="43"/>
      <c r="Q116" s="43"/>
      <c r="R116" s="43"/>
      <c r="S116" s="46"/>
      <c r="T116" s="43"/>
      <c r="U116" s="43"/>
      <c r="V116" s="77"/>
      <c r="W116" s="43"/>
      <c r="X116" s="43"/>
      <c r="Y116" s="43"/>
      <c r="Z116" s="43"/>
      <c r="AA116" s="43"/>
      <c r="AB116" s="7"/>
      <c r="AC116" s="88"/>
      <c r="AD116" s="88"/>
      <c r="AE116" s="88"/>
      <c r="AF116" s="88"/>
      <c r="AG116" s="117">
        <v>11</v>
      </c>
    </row>
    <row r="117" spans="1:33" s="117" customFormat="1" ht="11.45" customHeight="1">
      <c r="A117" s="330"/>
      <c r="B117" s="46"/>
      <c r="C117" s="46"/>
      <c r="L117" s="43"/>
      <c r="M117" s="46"/>
      <c r="N117" s="46"/>
      <c r="O117" s="43"/>
      <c r="P117" s="43"/>
      <c r="Q117" s="43"/>
      <c r="R117" s="43"/>
      <c r="S117" s="46"/>
      <c r="T117" s="43"/>
      <c r="U117" s="43"/>
      <c r="V117" s="77"/>
      <c r="W117" s="43"/>
      <c r="X117" s="43"/>
      <c r="Y117" s="43"/>
      <c r="Z117" s="43"/>
      <c r="AA117" s="43"/>
      <c r="AB117" s="7"/>
      <c r="AC117" s="88"/>
      <c r="AD117" s="88"/>
      <c r="AE117" s="88"/>
      <c r="AF117" s="88"/>
      <c r="AG117" s="117">
        <v>11</v>
      </c>
    </row>
    <row r="118" spans="1:33" s="117" customFormat="1" ht="11.45" customHeight="1">
      <c r="A118" s="330"/>
      <c r="B118" s="46"/>
      <c r="C118" s="46"/>
      <c r="L118" s="43"/>
      <c r="M118" s="46"/>
      <c r="N118" s="46"/>
      <c r="O118" s="43"/>
      <c r="P118" s="43"/>
      <c r="Q118" s="43"/>
      <c r="R118" s="43"/>
      <c r="S118" s="46"/>
      <c r="T118" s="43"/>
      <c r="U118" s="43"/>
      <c r="V118" s="77"/>
      <c r="W118" s="43"/>
      <c r="X118" s="43"/>
      <c r="Y118" s="43"/>
      <c r="Z118" s="43"/>
      <c r="AA118" s="43"/>
      <c r="AB118" s="7"/>
      <c r="AC118" s="88"/>
      <c r="AD118" s="88"/>
      <c r="AE118" s="88"/>
      <c r="AF118" s="88"/>
      <c r="AG118" s="117">
        <v>11</v>
      </c>
    </row>
    <row r="119" spans="1:33" s="117" customFormat="1" ht="11.45" customHeight="1">
      <c r="A119" s="330"/>
      <c r="B119" s="46"/>
      <c r="C119" s="46"/>
      <c r="L119" s="43"/>
      <c r="M119" s="46"/>
      <c r="N119" s="46"/>
      <c r="O119" s="43"/>
      <c r="P119" s="43"/>
      <c r="Q119" s="43"/>
      <c r="R119" s="43"/>
      <c r="S119" s="46"/>
      <c r="T119" s="43"/>
      <c r="U119" s="43"/>
      <c r="V119" s="77"/>
      <c r="W119" s="43"/>
      <c r="X119" s="43"/>
      <c r="Y119" s="43"/>
      <c r="Z119" s="43"/>
      <c r="AA119" s="43"/>
      <c r="AB119" s="7"/>
      <c r="AC119" s="88"/>
      <c r="AD119" s="88"/>
      <c r="AE119" s="88"/>
      <c r="AF119" s="88"/>
      <c r="AG119" s="117">
        <v>11</v>
      </c>
    </row>
    <row r="120" spans="1:33" s="117" customFormat="1" ht="11.45" customHeight="1">
      <c r="A120" s="330"/>
      <c r="B120" s="46"/>
      <c r="C120" s="46"/>
      <c r="L120" s="43"/>
      <c r="M120" s="46"/>
      <c r="N120" s="46"/>
      <c r="O120" s="43"/>
      <c r="P120" s="43"/>
      <c r="Q120" s="43"/>
      <c r="R120" s="43"/>
      <c r="S120" s="46"/>
      <c r="T120" s="43"/>
      <c r="U120" s="43"/>
      <c r="V120" s="77"/>
      <c r="W120" s="43"/>
      <c r="X120" s="43"/>
      <c r="Y120" s="43"/>
      <c r="Z120" s="43"/>
      <c r="AA120" s="43"/>
      <c r="AB120" s="7"/>
      <c r="AC120" s="88"/>
      <c r="AD120" s="88"/>
      <c r="AE120" s="88"/>
      <c r="AF120" s="88"/>
      <c r="AG120" s="117">
        <v>11</v>
      </c>
    </row>
    <row r="121" spans="1:33" s="117" customFormat="1" ht="11.45" customHeight="1">
      <c r="A121" s="330"/>
      <c r="B121" s="46"/>
      <c r="C121" s="46"/>
      <c r="L121" s="43"/>
      <c r="M121" s="46"/>
      <c r="N121" s="46"/>
      <c r="O121" s="43"/>
      <c r="P121" s="43"/>
      <c r="Q121" s="43"/>
      <c r="R121" s="43"/>
      <c r="S121" s="46"/>
      <c r="T121" s="43"/>
      <c r="U121" s="43"/>
      <c r="V121" s="77"/>
      <c r="W121" s="43"/>
      <c r="X121" s="43"/>
      <c r="Y121" s="43"/>
      <c r="Z121" s="43"/>
      <c r="AA121" s="43"/>
      <c r="AB121" s="7"/>
      <c r="AC121" s="88"/>
      <c r="AD121" s="88"/>
      <c r="AE121" s="88"/>
      <c r="AF121" s="88"/>
      <c r="AG121" s="117">
        <v>11</v>
      </c>
    </row>
    <row r="122" spans="1:33" s="117" customFormat="1" ht="11.45" customHeight="1">
      <c r="A122" s="330"/>
      <c r="B122" s="46"/>
      <c r="C122" s="46"/>
      <c r="L122" s="43"/>
      <c r="M122" s="46"/>
      <c r="N122" s="46"/>
      <c r="O122" s="43"/>
      <c r="P122" s="43"/>
      <c r="Q122" s="43"/>
      <c r="R122" s="43"/>
      <c r="S122" s="46"/>
      <c r="T122" s="43"/>
      <c r="U122" s="43"/>
      <c r="V122" s="77"/>
      <c r="W122" s="43"/>
      <c r="X122" s="43"/>
      <c r="Y122" s="43"/>
      <c r="Z122" s="43"/>
      <c r="AA122" s="43"/>
      <c r="AB122" s="7"/>
      <c r="AC122" s="88"/>
      <c r="AD122" s="88"/>
      <c r="AE122" s="88"/>
      <c r="AF122" s="88"/>
      <c r="AG122" s="117">
        <v>11</v>
      </c>
    </row>
    <row r="123" spans="1:33" s="117" customFormat="1" ht="11.45" customHeight="1">
      <c r="A123" s="330"/>
      <c r="B123" s="46"/>
      <c r="C123" s="46"/>
      <c r="L123" s="43"/>
      <c r="M123" s="46"/>
      <c r="N123" s="46"/>
      <c r="O123" s="43"/>
      <c r="P123" s="43"/>
      <c r="Q123" s="43"/>
      <c r="R123" s="43"/>
      <c r="S123" s="46"/>
      <c r="T123" s="43"/>
      <c r="U123" s="43"/>
      <c r="V123" s="77"/>
      <c r="W123" s="43"/>
      <c r="X123" s="43"/>
      <c r="Y123" s="43"/>
      <c r="Z123" s="43"/>
      <c r="AA123" s="43"/>
      <c r="AB123" s="7"/>
      <c r="AC123" s="88"/>
      <c r="AD123" s="88"/>
      <c r="AE123" s="88"/>
      <c r="AF123" s="88"/>
      <c r="AG123" s="117">
        <v>11</v>
      </c>
    </row>
    <row r="124" spans="1:33" s="117" customFormat="1" ht="11.45" customHeight="1">
      <c r="A124" s="330"/>
      <c r="B124" s="46"/>
      <c r="C124" s="46"/>
      <c r="L124" s="43"/>
      <c r="M124" s="46"/>
      <c r="N124" s="46"/>
      <c r="O124" s="43"/>
      <c r="P124" s="43"/>
      <c r="Q124" s="43"/>
      <c r="R124" s="43"/>
      <c r="S124" s="46"/>
      <c r="T124" s="43"/>
      <c r="U124" s="43"/>
      <c r="V124" s="77"/>
      <c r="W124" s="43"/>
      <c r="X124" s="43"/>
      <c r="Y124" s="43"/>
      <c r="Z124" s="43"/>
      <c r="AA124" s="43"/>
      <c r="AB124" s="7"/>
      <c r="AC124" s="88"/>
      <c r="AD124" s="88"/>
      <c r="AE124" s="88"/>
      <c r="AF124" s="88"/>
      <c r="AG124" s="117">
        <v>11</v>
      </c>
    </row>
    <row r="125" spans="1:33" s="117" customFormat="1" ht="11.45" customHeight="1">
      <c r="A125" s="330"/>
      <c r="B125" s="46"/>
      <c r="C125" s="46"/>
      <c r="L125" s="43"/>
      <c r="M125" s="46"/>
      <c r="N125" s="46"/>
      <c r="O125" s="43"/>
      <c r="P125" s="43"/>
      <c r="Q125" s="43"/>
      <c r="R125" s="43"/>
      <c r="S125" s="46"/>
      <c r="T125" s="43"/>
      <c r="U125" s="43"/>
      <c r="V125" s="77"/>
      <c r="W125" s="43"/>
      <c r="X125" s="43"/>
      <c r="Y125" s="43"/>
      <c r="Z125" s="43"/>
      <c r="AA125" s="43"/>
      <c r="AB125" s="7"/>
      <c r="AC125" s="88"/>
      <c r="AD125" s="88"/>
      <c r="AE125" s="88"/>
      <c r="AF125" s="88"/>
      <c r="AG125" s="117">
        <v>11</v>
      </c>
    </row>
    <row r="126" spans="1:33" s="117" customFormat="1" ht="11.45" customHeight="1">
      <c r="A126" s="330"/>
      <c r="B126" s="46"/>
      <c r="C126" s="46"/>
      <c r="L126" s="43"/>
      <c r="M126" s="46"/>
      <c r="N126" s="46"/>
      <c r="O126" s="43"/>
      <c r="P126" s="43"/>
      <c r="Q126" s="43"/>
      <c r="R126" s="43"/>
      <c r="S126" s="46"/>
      <c r="T126" s="43"/>
      <c r="U126" s="43"/>
      <c r="V126" s="77"/>
      <c r="W126" s="43"/>
      <c r="X126" s="43"/>
      <c r="Y126" s="43"/>
      <c r="Z126" s="43"/>
      <c r="AA126" s="43"/>
      <c r="AB126" s="7"/>
      <c r="AC126" s="88"/>
      <c r="AD126" s="88"/>
      <c r="AE126" s="88"/>
      <c r="AF126" s="88"/>
      <c r="AG126" s="117">
        <v>11</v>
      </c>
    </row>
    <row r="127" spans="1:33" s="117" customFormat="1" ht="11.45" customHeight="1">
      <c r="A127" s="330"/>
      <c r="B127" s="46"/>
      <c r="C127" s="46"/>
      <c r="L127" s="43"/>
      <c r="M127" s="46"/>
      <c r="N127" s="46"/>
      <c r="O127" s="43"/>
      <c r="P127" s="43"/>
      <c r="Q127" s="43"/>
      <c r="R127" s="43"/>
      <c r="S127" s="46"/>
      <c r="T127" s="43"/>
      <c r="U127" s="43"/>
      <c r="V127" s="77"/>
      <c r="W127" s="43"/>
      <c r="X127" s="43"/>
      <c r="Y127" s="43"/>
      <c r="Z127" s="43"/>
      <c r="AA127" s="43"/>
      <c r="AB127" s="7"/>
      <c r="AC127" s="88"/>
      <c r="AD127" s="88"/>
      <c r="AE127" s="88"/>
      <c r="AF127" s="88"/>
      <c r="AG127" s="117">
        <v>11</v>
      </c>
    </row>
    <row r="128" spans="1:33" s="117" customFormat="1" ht="11.45" customHeight="1">
      <c r="A128" s="330"/>
      <c r="B128" s="46"/>
      <c r="C128" s="46"/>
      <c r="L128" s="43"/>
      <c r="M128" s="46"/>
      <c r="N128" s="46"/>
      <c r="O128" s="43"/>
      <c r="P128" s="43"/>
      <c r="Q128" s="43"/>
      <c r="R128" s="43"/>
      <c r="S128" s="46"/>
      <c r="T128" s="43"/>
      <c r="U128" s="43"/>
      <c r="V128" s="77"/>
      <c r="W128" s="43"/>
      <c r="X128" s="43"/>
      <c r="Y128" s="43"/>
      <c r="Z128" s="43"/>
      <c r="AA128" s="43"/>
      <c r="AB128" s="7"/>
      <c r="AC128" s="88"/>
      <c r="AD128" s="88"/>
      <c r="AE128" s="88"/>
      <c r="AF128" s="88"/>
      <c r="AG128" s="117">
        <v>11</v>
      </c>
    </row>
    <row r="129" spans="1:33" s="117" customFormat="1" ht="11.45" customHeight="1">
      <c r="A129" s="330"/>
      <c r="B129" s="46"/>
      <c r="C129" s="46"/>
      <c r="L129" s="43"/>
      <c r="M129" s="46"/>
      <c r="N129" s="46"/>
      <c r="O129" s="43"/>
      <c r="P129" s="43"/>
      <c r="Q129" s="43"/>
      <c r="R129" s="43"/>
      <c r="S129" s="46"/>
      <c r="T129" s="43"/>
      <c r="U129" s="43"/>
      <c r="V129" s="77"/>
      <c r="W129" s="43"/>
      <c r="X129" s="43"/>
      <c r="Y129" s="43"/>
      <c r="Z129" s="43"/>
      <c r="AA129" s="43"/>
      <c r="AB129" s="7"/>
      <c r="AC129" s="88"/>
      <c r="AD129" s="88"/>
      <c r="AE129" s="88"/>
      <c r="AF129" s="88"/>
      <c r="AG129" s="117">
        <v>11</v>
      </c>
    </row>
    <row r="130" spans="1:33" s="117" customFormat="1" ht="11.45" customHeight="1">
      <c r="A130" s="330"/>
      <c r="B130" s="46"/>
      <c r="C130" s="46"/>
      <c r="L130" s="43"/>
      <c r="M130" s="46"/>
      <c r="N130" s="46"/>
      <c r="O130" s="43"/>
      <c r="P130" s="43"/>
      <c r="Q130" s="43"/>
      <c r="R130" s="43"/>
      <c r="S130" s="46"/>
      <c r="T130" s="43"/>
      <c r="U130" s="43"/>
      <c r="V130" s="77"/>
      <c r="W130" s="43"/>
      <c r="X130" s="43"/>
      <c r="Y130" s="43"/>
      <c r="Z130" s="43"/>
      <c r="AA130" s="43"/>
      <c r="AB130" s="7"/>
      <c r="AC130" s="88"/>
      <c r="AD130" s="88"/>
      <c r="AE130" s="88"/>
      <c r="AF130" s="88"/>
      <c r="AG130" s="117">
        <v>11</v>
      </c>
    </row>
    <row r="131" spans="1:33" s="117" customFormat="1" ht="11.45" customHeight="1">
      <c r="A131" s="330"/>
      <c r="B131" s="46"/>
      <c r="C131" s="46"/>
      <c r="L131" s="43"/>
      <c r="M131" s="46"/>
      <c r="N131" s="46"/>
      <c r="O131" s="43"/>
      <c r="P131" s="43"/>
      <c r="Q131" s="43"/>
      <c r="R131" s="43"/>
      <c r="S131" s="46"/>
      <c r="T131" s="43"/>
      <c r="U131" s="43"/>
      <c r="V131" s="77"/>
      <c r="W131" s="43"/>
      <c r="X131" s="43"/>
      <c r="Y131" s="43"/>
      <c r="Z131" s="43"/>
      <c r="AA131" s="43"/>
      <c r="AB131" s="7"/>
      <c r="AC131" s="88"/>
      <c r="AD131" s="88"/>
      <c r="AE131" s="88"/>
      <c r="AF131" s="88"/>
      <c r="AG131" s="117">
        <v>11</v>
      </c>
    </row>
    <row r="132" spans="1:33" s="117" customFormat="1" ht="11.45" customHeight="1">
      <c r="A132" s="330"/>
      <c r="B132" s="46"/>
      <c r="C132" s="46"/>
      <c r="L132" s="43"/>
      <c r="M132" s="46"/>
      <c r="N132" s="46"/>
      <c r="O132" s="43"/>
      <c r="P132" s="43"/>
      <c r="Q132" s="43"/>
      <c r="R132" s="43"/>
      <c r="S132" s="46"/>
      <c r="T132" s="43"/>
      <c r="U132" s="43"/>
      <c r="V132" s="77"/>
      <c r="W132" s="43"/>
      <c r="X132" s="43"/>
      <c r="Y132" s="43"/>
      <c r="Z132" s="43"/>
      <c r="AA132" s="43"/>
      <c r="AB132" s="7"/>
      <c r="AC132" s="88"/>
      <c r="AD132" s="88"/>
      <c r="AE132" s="88"/>
      <c r="AF132" s="88"/>
      <c r="AG132" s="117">
        <v>11</v>
      </c>
    </row>
    <row r="133" spans="1:33" s="117" customFormat="1" ht="11.45" customHeight="1">
      <c r="A133" s="330"/>
      <c r="B133" s="46"/>
      <c r="C133" s="46"/>
      <c r="L133" s="43"/>
      <c r="M133" s="46"/>
      <c r="N133" s="46"/>
      <c r="O133" s="43"/>
      <c r="P133" s="43"/>
      <c r="Q133" s="43"/>
      <c r="R133" s="43"/>
      <c r="S133" s="46"/>
      <c r="T133" s="43"/>
      <c r="U133" s="43"/>
      <c r="V133" s="77"/>
      <c r="W133" s="43"/>
      <c r="X133" s="43"/>
      <c r="Y133" s="43"/>
      <c r="Z133" s="43"/>
      <c r="AA133" s="43"/>
      <c r="AB133" s="7"/>
      <c r="AC133" s="88"/>
      <c r="AD133" s="88"/>
      <c r="AE133" s="88"/>
      <c r="AF133" s="88"/>
      <c r="AG133" s="117">
        <v>11</v>
      </c>
    </row>
    <row r="134" spans="1:33" s="117" customFormat="1" ht="11.45" customHeight="1">
      <c r="A134" s="330"/>
      <c r="B134" s="46"/>
      <c r="C134" s="46"/>
      <c r="L134" s="43"/>
      <c r="M134" s="46"/>
      <c r="N134" s="46"/>
      <c r="O134" s="43"/>
      <c r="P134" s="43"/>
      <c r="Q134" s="43"/>
      <c r="R134" s="43"/>
      <c r="S134" s="46"/>
      <c r="T134" s="43"/>
      <c r="U134" s="43"/>
      <c r="V134" s="77"/>
      <c r="W134" s="43"/>
      <c r="X134" s="43"/>
      <c r="Y134" s="43"/>
      <c r="Z134" s="43"/>
      <c r="AA134" s="43"/>
      <c r="AB134" s="7"/>
      <c r="AC134" s="88"/>
      <c r="AD134" s="88"/>
      <c r="AE134" s="88"/>
      <c r="AF134" s="88"/>
      <c r="AG134" s="117">
        <v>11</v>
      </c>
    </row>
    <row r="135" spans="1:33" s="117" customFormat="1" ht="11.45" customHeight="1">
      <c r="A135" s="330"/>
      <c r="B135" s="46"/>
      <c r="C135" s="46"/>
      <c r="L135" s="43"/>
      <c r="M135" s="46"/>
      <c r="N135" s="46"/>
      <c r="O135" s="43"/>
      <c r="P135" s="43"/>
      <c r="Q135" s="43"/>
      <c r="R135" s="43"/>
      <c r="S135" s="46"/>
      <c r="T135" s="43"/>
      <c r="U135" s="43"/>
      <c r="V135" s="77"/>
      <c r="W135" s="43"/>
      <c r="X135" s="43"/>
      <c r="Y135" s="43"/>
      <c r="Z135" s="43"/>
      <c r="AA135" s="43"/>
      <c r="AB135" s="7"/>
      <c r="AC135" s="88"/>
      <c r="AD135" s="88"/>
      <c r="AE135" s="88"/>
      <c r="AF135" s="88"/>
      <c r="AG135" s="117">
        <v>11</v>
      </c>
    </row>
    <row r="136" spans="1:33" s="117" customFormat="1" ht="11.45" customHeight="1">
      <c r="A136" s="330"/>
      <c r="B136" s="46"/>
      <c r="C136" s="46"/>
      <c r="L136" s="43"/>
      <c r="M136" s="46"/>
      <c r="N136" s="46"/>
      <c r="O136" s="43"/>
      <c r="P136" s="43"/>
      <c r="Q136" s="43"/>
      <c r="R136" s="43"/>
      <c r="S136" s="46"/>
      <c r="T136" s="43"/>
      <c r="U136" s="43"/>
      <c r="V136" s="77"/>
      <c r="W136" s="43"/>
      <c r="X136" s="43"/>
      <c r="Y136" s="43"/>
      <c r="Z136" s="43"/>
      <c r="AA136" s="43"/>
      <c r="AB136" s="7"/>
      <c r="AC136" s="88"/>
      <c r="AD136" s="88"/>
      <c r="AE136" s="88"/>
      <c r="AF136" s="88"/>
      <c r="AG136" s="117">
        <v>11</v>
      </c>
    </row>
    <row r="137" spans="1:33" s="117" customFormat="1" ht="11.45" customHeight="1">
      <c r="A137" s="330"/>
      <c r="B137" s="46"/>
      <c r="C137" s="46"/>
      <c r="L137" s="43"/>
      <c r="M137" s="46"/>
      <c r="N137" s="46"/>
      <c r="O137" s="43"/>
      <c r="P137" s="43"/>
      <c r="Q137" s="43"/>
      <c r="R137" s="43"/>
      <c r="S137" s="46"/>
      <c r="T137" s="43"/>
      <c r="U137" s="43"/>
      <c r="V137" s="77"/>
      <c r="W137" s="43"/>
      <c r="X137" s="43"/>
      <c r="Y137" s="43"/>
      <c r="Z137" s="43"/>
      <c r="AA137" s="43"/>
      <c r="AB137" s="7"/>
      <c r="AC137" s="88"/>
      <c r="AD137" s="88"/>
      <c r="AE137" s="88"/>
      <c r="AF137" s="88"/>
      <c r="AG137" s="117">
        <v>11</v>
      </c>
    </row>
    <row r="138" spans="1:33" s="117" customFormat="1" ht="11.45" customHeight="1">
      <c r="A138" s="330"/>
      <c r="B138" s="46"/>
      <c r="C138" s="46"/>
      <c r="L138" s="43"/>
      <c r="M138" s="46"/>
      <c r="N138" s="46"/>
      <c r="O138" s="43"/>
      <c r="P138" s="43"/>
      <c r="Q138" s="43"/>
      <c r="R138" s="43"/>
      <c r="S138" s="46"/>
      <c r="T138" s="43"/>
      <c r="U138" s="43"/>
      <c r="V138" s="77"/>
      <c r="W138" s="43"/>
      <c r="X138" s="43"/>
      <c r="Y138" s="43"/>
      <c r="Z138" s="43"/>
      <c r="AA138" s="43"/>
      <c r="AB138" s="7"/>
      <c r="AC138" s="88"/>
      <c r="AD138" s="88"/>
      <c r="AE138" s="88"/>
      <c r="AF138" s="88"/>
      <c r="AG138" s="117">
        <v>11</v>
      </c>
    </row>
    <row r="139" spans="1:33" s="117" customFormat="1" ht="11.45" customHeight="1">
      <c r="A139" s="330"/>
      <c r="B139" s="46"/>
      <c r="C139" s="46"/>
      <c r="L139" s="43"/>
      <c r="M139" s="46"/>
      <c r="N139" s="46"/>
      <c r="O139" s="43"/>
      <c r="P139" s="43"/>
      <c r="Q139" s="43"/>
      <c r="R139" s="43"/>
      <c r="S139" s="46"/>
      <c r="T139" s="43"/>
      <c r="U139" s="43"/>
      <c r="V139" s="77"/>
      <c r="W139" s="43"/>
      <c r="X139" s="43"/>
      <c r="Y139" s="43"/>
      <c r="Z139" s="43"/>
      <c r="AA139" s="43"/>
      <c r="AB139" s="7"/>
      <c r="AC139" s="88"/>
      <c r="AD139" s="88"/>
      <c r="AE139" s="88"/>
      <c r="AF139" s="88"/>
      <c r="AG139" s="117">
        <v>11</v>
      </c>
    </row>
    <row r="140" spans="1:33" s="117" customFormat="1" ht="11.45" customHeight="1">
      <c r="A140" s="330"/>
      <c r="B140" s="46"/>
      <c r="C140" s="46"/>
      <c r="L140" s="43"/>
      <c r="M140" s="46"/>
      <c r="N140" s="46"/>
      <c r="O140" s="43"/>
      <c r="P140" s="43"/>
      <c r="Q140" s="43"/>
      <c r="R140" s="43"/>
      <c r="S140" s="46"/>
      <c r="T140" s="43"/>
      <c r="U140" s="43"/>
      <c r="V140" s="77"/>
      <c r="W140" s="43"/>
      <c r="X140" s="43"/>
      <c r="Y140" s="43"/>
      <c r="Z140" s="43"/>
      <c r="AA140" s="43"/>
      <c r="AB140" s="7"/>
      <c r="AC140" s="88"/>
      <c r="AD140" s="88"/>
      <c r="AE140" s="88"/>
      <c r="AF140" s="88"/>
      <c r="AG140" s="117">
        <v>11</v>
      </c>
    </row>
    <row r="141" spans="1:33" s="117" customFormat="1" ht="11.45" customHeight="1">
      <c r="A141" s="330"/>
      <c r="B141" s="46"/>
      <c r="C141" s="46"/>
      <c r="L141" s="43"/>
      <c r="M141" s="46"/>
      <c r="N141" s="46"/>
      <c r="O141" s="43"/>
      <c r="P141" s="43"/>
      <c r="Q141" s="43"/>
      <c r="R141" s="43"/>
      <c r="S141" s="46"/>
      <c r="T141" s="43"/>
      <c r="U141" s="43"/>
      <c r="V141" s="77"/>
      <c r="W141" s="43"/>
      <c r="X141" s="43"/>
      <c r="Y141" s="43"/>
      <c r="Z141" s="43"/>
      <c r="AA141" s="43"/>
      <c r="AB141" s="7"/>
      <c r="AC141" s="88"/>
      <c r="AD141" s="88"/>
      <c r="AE141" s="88"/>
      <c r="AF141" s="88"/>
      <c r="AG141" s="117">
        <v>11</v>
      </c>
    </row>
    <row r="142" spans="1:33" s="117" customFormat="1" ht="11.45" customHeight="1">
      <c r="A142" s="330"/>
      <c r="B142" s="46"/>
      <c r="C142" s="46"/>
      <c r="L142" s="43"/>
      <c r="M142" s="46"/>
      <c r="N142" s="46"/>
      <c r="O142" s="43"/>
      <c r="P142" s="43"/>
      <c r="Q142" s="43"/>
      <c r="R142" s="43"/>
      <c r="S142" s="46"/>
      <c r="T142" s="43"/>
      <c r="U142" s="43"/>
      <c r="V142" s="77"/>
      <c r="W142" s="43"/>
      <c r="X142" s="43"/>
      <c r="Y142" s="43"/>
      <c r="Z142" s="43"/>
      <c r="AA142" s="43"/>
      <c r="AB142" s="7"/>
      <c r="AC142" s="88"/>
      <c r="AD142" s="88"/>
      <c r="AE142" s="88"/>
      <c r="AF142" s="88"/>
      <c r="AG142" s="117">
        <v>11</v>
      </c>
    </row>
    <row r="143" spans="1:33" s="117" customFormat="1" ht="11.45" customHeight="1">
      <c r="A143" s="330"/>
      <c r="B143" s="46"/>
      <c r="C143" s="46"/>
      <c r="L143" s="43"/>
      <c r="M143" s="46"/>
      <c r="N143" s="46"/>
      <c r="O143" s="43"/>
      <c r="P143" s="43"/>
      <c r="Q143" s="43"/>
      <c r="R143" s="43"/>
      <c r="S143" s="46"/>
      <c r="T143" s="43"/>
      <c r="U143" s="43"/>
      <c r="V143" s="77"/>
      <c r="W143" s="43"/>
      <c r="X143" s="43"/>
      <c r="Y143" s="43"/>
      <c r="Z143" s="43"/>
      <c r="AA143" s="43"/>
      <c r="AB143" s="7"/>
      <c r="AC143" s="88"/>
      <c r="AD143" s="88"/>
      <c r="AE143" s="88"/>
      <c r="AF143" s="88"/>
      <c r="AG143" s="117">
        <v>11</v>
      </c>
    </row>
    <row r="144" spans="1:33" s="117" customFormat="1" ht="11.45" customHeight="1">
      <c r="A144" s="330"/>
      <c r="B144" s="46"/>
      <c r="C144" s="46"/>
      <c r="L144" s="43"/>
      <c r="M144" s="46"/>
      <c r="N144" s="46"/>
      <c r="O144" s="43"/>
      <c r="P144" s="43"/>
      <c r="Q144" s="43"/>
      <c r="R144" s="43"/>
      <c r="S144" s="46"/>
      <c r="T144" s="43"/>
      <c r="U144" s="43"/>
      <c r="V144" s="77"/>
      <c r="W144" s="43"/>
      <c r="X144" s="43"/>
      <c r="Y144" s="43"/>
      <c r="Z144" s="43"/>
      <c r="AA144" s="43"/>
      <c r="AB144" s="7"/>
      <c r="AC144" s="88"/>
      <c r="AD144" s="88"/>
      <c r="AE144" s="88"/>
      <c r="AF144" s="88"/>
      <c r="AG144" s="117">
        <v>11</v>
      </c>
    </row>
    <row r="145" spans="1:33" s="117" customFormat="1" ht="11.45" customHeight="1">
      <c r="A145" s="330"/>
      <c r="B145" s="46"/>
      <c r="C145" s="46"/>
      <c r="L145" s="43"/>
      <c r="M145" s="46"/>
      <c r="N145" s="46"/>
      <c r="O145" s="43"/>
      <c r="P145" s="43"/>
      <c r="Q145" s="43"/>
      <c r="R145" s="43"/>
      <c r="S145" s="46"/>
      <c r="T145" s="43"/>
      <c r="U145" s="43"/>
      <c r="V145" s="77"/>
      <c r="W145" s="43"/>
      <c r="X145" s="43"/>
      <c r="Y145" s="43"/>
      <c r="Z145" s="43"/>
      <c r="AA145" s="43"/>
      <c r="AB145" s="7"/>
      <c r="AC145" s="88"/>
      <c r="AD145" s="88"/>
      <c r="AE145" s="88"/>
      <c r="AF145" s="88"/>
      <c r="AG145" s="117">
        <v>11</v>
      </c>
    </row>
    <row r="146" spans="1:33" s="117" customFormat="1" ht="11.45" customHeight="1">
      <c r="A146" s="330"/>
      <c r="B146" s="46"/>
      <c r="C146" s="46"/>
      <c r="L146" s="43"/>
      <c r="M146" s="46"/>
      <c r="N146" s="46"/>
      <c r="O146" s="43"/>
      <c r="P146" s="43"/>
      <c r="Q146" s="43"/>
      <c r="R146" s="43"/>
      <c r="S146" s="46"/>
      <c r="T146" s="43"/>
      <c r="U146" s="43"/>
      <c r="V146" s="77"/>
      <c r="W146" s="43"/>
      <c r="X146" s="43"/>
      <c r="Y146" s="43"/>
      <c r="Z146" s="43"/>
      <c r="AA146" s="43"/>
      <c r="AB146" s="7"/>
      <c r="AC146" s="88"/>
      <c r="AD146" s="88"/>
      <c r="AE146" s="88"/>
      <c r="AF146" s="88"/>
      <c r="AG146" s="117">
        <v>11</v>
      </c>
    </row>
    <row r="147" spans="1:33" s="117" customFormat="1" ht="11.45" customHeight="1">
      <c r="A147" s="330"/>
      <c r="B147" s="46"/>
      <c r="C147" s="46"/>
      <c r="L147" s="43"/>
      <c r="M147" s="46"/>
      <c r="N147" s="46"/>
      <c r="O147" s="43"/>
      <c r="P147" s="43"/>
      <c r="Q147" s="43"/>
      <c r="R147" s="43"/>
      <c r="S147" s="46"/>
      <c r="T147" s="43"/>
      <c r="U147" s="43"/>
      <c r="V147" s="77"/>
      <c r="W147" s="43"/>
      <c r="X147" s="43"/>
      <c r="Y147" s="43"/>
      <c r="Z147" s="43"/>
      <c r="AA147" s="43"/>
      <c r="AB147" s="7"/>
      <c r="AC147" s="88"/>
      <c r="AD147" s="88"/>
      <c r="AE147" s="88"/>
      <c r="AF147" s="88"/>
      <c r="AG147" s="117">
        <v>11</v>
      </c>
    </row>
    <row r="148" spans="1:33" s="117" customFormat="1" ht="11.45" customHeight="1">
      <c r="A148" s="330"/>
      <c r="B148" s="46"/>
      <c r="C148" s="46"/>
      <c r="L148" s="43"/>
      <c r="M148" s="46"/>
      <c r="N148" s="46"/>
      <c r="O148" s="43"/>
      <c r="P148" s="43"/>
      <c r="Q148" s="43"/>
      <c r="R148" s="43"/>
      <c r="S148" s="46"/>
      <c r="T148" s="43"/>
      <c r="U148" s="43"/>
      <c r="V148" s="77"/>
      <c r="W148" s="43"/>
      <c r="X148" s="43"/>
      <c r="Y148" s="43"/>
      <c r="Z148" s="43"/>
      <c r="AA148" s="43"/>
      <c r="AB148" s="7"/>
      <c r="AC148" s="88"/>
      <c r="AD148" s="88"/>
      <c r="AE148" s="88"/>
      <c r="AF148" s="88"/>
      <c r="AG148" s="117">
        <v>11</v>
      </c>
    </row>
    <row r="149" spans="1:33" s="117" customFormat="1" ht="11.45" customHeight="1">
      <c r="A149" s="330"/>
      <c r="B149" s="46"/>
      <c r="C149" s="46"/>
      <c r="L149" s="43"/>
      <c r="M149" s="46"/>
      <c r="N149" s="46"/>
      <c r="O149" s="43"/>
      <c r="P149" s="43"/>
      <c r="Q149" s="43"/>
      <c r="R149" s="43"/>
      <c r="S149" s="46"/>
      <c r="T149" s="43"/>
      <c r="U149" s="43"/>
      <c r="V149" s="77"/>
      <c r="W149" s="43"/>
      <c r="X149" s="43"/>
      <c r="Y149" s="43"/>
      <c r="Z149" s="43"/>
      <c r="AA149" s="43"/>
      <c r="AB149" s="7"/>
      <c r="AC149" s="88"/>
      <c r="AD149" s="88"/>
      <c r="AE149" s="88"/>
      <c r="AF149" s="88"/>
      <c r="AG149" s="117">
        <v>11</v>
      </c>
    </row>
    <row r="150" spans="1:33" s="117" customFormat="1" ht="11.45" customHeight="1">
      <c r="A150" s="330"/>
      <c r="B150" s="46"/>
      <c r="C150" s="46"/>
      <c r="L150" s="43"/>
      <c r="M150" s="46"/>
      <c r="N150" s="46"/>
      <c r="O150" s="43"/>
      <c r="P150" s="43"/>
      <c r="Q150" s="43"/>
      <c r="R150" s="43"/>
      <c r="S150" s="46"/>
      <c r="T150" s="43"/>
      <c r="U150" s="43"/>
      <c r="V150" s="77"/>
      <c r="W150" s="43"/>
      <c r="X150" s="43"/>
      <c r="Y150" s="43"/>
      <c r="Z150" s="43"/>
      <c r="AA150" s="43"/>
      <c r="AB150" s="7"/>
      <c r="AC150" s="88"/>
      <c r="AD150" s="88"/>
      <c r="AE150" s="88"/>
      <c r="AF150" s="88"/>
      <c r="AG150" s="117">
        <v>11</v>
      </c>
    </row>
    <row r="151" spans="1:33" s="117" customFormat="1" ht="11.45" customHeight="1">
      <c r="A151" s="330"/>
      <c r="B151" s="46"/>
      <c r="C151" s="46"/>
      <c r="L151" s="43"/>
      <c r="M151" s="46"/>
      <c r="N151" s="46"/>
      <c r="O151" s="43"/>
      <c r="P151" s="43"/>
      <c r="Q151" s="43"/>
      <c r="R151" s="43"/>
      <c r="S151" s="46"/>
      <c r="T151" s="43"/>
      <c r="U151" s="43"/>
      <c r="V151" s="77"/>
      <c r="W151" s="43"/>
      <c r="X151" s="43"/>
      <c r="Y151" s="43"/>
      <c r="Z151" s="43"/>
      <c r="AA151" s="43"/>
      <c r="AB151" s="7"/>
      <c r="AC151" s="88"/>
      <c r="AD151" s="88"/>
      <c r="AE151" s="88"/>
      <c r="AF151" s="88"/>
      <c r="AG151" s="117">
        <v>11</v>
      </c>
    </row>
    <row r="152" spans="1:33" s="117" customFormat="1" ht="11.45" customHeight="1">
      <c r="A152" s="330"/>
      <c r="B152" s="46"/>
      <c r="C152" s="46"/>
      <c r="L152" s="43"/>
      <c r="M152" s="46"/>
      <c r="N152" s="46"/>
      <c r="O152" s="43"/>
      <c r="P152" s="43"/>
      <c r="Q152" s="43"/>
      <c r="R152" s="43"/>
      <c r="S152" s="46"/>
      <c r="T152" s="43"/>
      <c r="U152" s="43"/>
      <c r="V152" s="77"/>
      <c r="W152" s="43"/>
      <c r="X152" s="43"/>
      <c r="Y152" s="43"/>
      <c r="Z152" s="43"/>
      <c r="AA152" s="43"/>
      <c r="AB152" s="7"/>
      <c r="AC152" s="88"/>
      <c r="AD152" s="88"/>
      <c r="AE152" s="88"/>
      <c r="AF152" s="88"/>
      <c r="AG152" s="117">
        <v>11</v>
      </c>
    </row>
    <row r="153" spans="1:33" s="117" customFormat="1" ht="11.45" customHeight="1">
      <c r="A153" s="330"/>
      <c r="B153" s="46"/>
      <c r="C153" s="46"/>
      <c r="L153" s="43"/>
      <c r="M153" s="46"/>
      <c r="N153" s="46"/>
      <c r="O153" s="43"/>
      <c r="P153" s="43"/>
      <c r="Q153" s="43"/>
      <c r="R153" s="43"/>
      <c r="S153" s="46"/>
      <c r="T153" s="43"/>
      <c r="U153" s="43"/>
      <c r="V153" s="77"/>
      <c r="W153" s="43"/>
      <c r="X153" s="43"/>
      <c r="Y153" s="43"/>
      <c r="Z153" s="43"/>
      <c r="AA153" s="43"/>
      <c r="AB153" s="7"/>
      <c r="AC153" s="88"/>
      <c r="AD153" s="88"/>
      <c r="AE153" s="88"/>
      <c r="AF153" s="88"/>
      <c r="AG153" s="117">
        <v>11</v>
      </c>
    </row>
    <row r="154" spans="1:33" s="117" customFormat="1" ht="11.45" customHeight="1">
      <c r="A154" s="330"/>
      <c r="B154" s="46"/>
      <c r="C154" s="46"/>
      <c r="L154" s="43"/>
      <c r="M154" s="46"/>
      <c r="N154" s="46"/>
      <c r="O154" s="43"/>
      <c r="P154" s="43"/>
      <c r="Q154" s="43"/>
      <c r="R154" s="43"/>
      <c r="S154" s="46"/>
      <c r="T154" s="43"/>
      <c r="U154" s="43"/>
      <c r="V154" s="77"/>
      <c r="W154" s="43"/>
      <c r="X154" s="43"/>
      <c r="Y154" s="43"/>
      <c r="Z154" s="43"/>
      <c r="AA154" s="43"/>
      <c r="AB154" s="7"/>
      <c r="AC154" s="88"/>
      <c r="AD154" s="88"/>
      <c r="AE154" s="88"/>
      <c r="AF154" s="88"/>
      <c r="AG154" s="117">
        <v>11</v>
      </c>
    </row>
    <row r="155" spans="1:33" s="117" customFormat="1" ht="11.45" customHeight="1">
      <c r="A155" s="330"/>
      <c r="B155" s="46"/>
      <c r="C155" s="46"/>
      <c r="L155" s="43"/>
      <c r="M155" s="46"/>
      <c r="N155" s="46"/>
      <c r="O155" s="43"/>
      <c r="P155" s="43"/>
      <c r="Q155" s="43"/>
      <c r="R155" s="43"/>
      <c r="S155" s="46"/>
      <c r="T155" s="43"/>
      <c r="U155" s="43"/>
      <c r="V155" s="77"/>
      <c r="W155" s="43"/>
      <c r="X155" s="43"/>
      <c r="Y155" s="43"/>
      <c r="Z155" s="43"/>
      <c r="AA155" s="43"/>
      <c r="AB155" s="7"/>
      <c r="AC155" s="88"/>
      <c r="AD155" s="88"/>
      <c r="AE155" s="88"/>
      <c r="AF155" s="88"/>
      <c r="AG155" s="117">
        <v>11</v>
      </c>
    </row>
    <row r="156" spans="1:33" s="117" customFormat="1" ht="11.45" customHeight="1">
      <c r="A156" s="330"/>
      <c r="B156" s="46"/>
      <c r="C156" s="46"/>
      <c r="L156" s="43"/>
      <c r="M156" s="46"/>
      <c r="N156" s="46"/>
      <c r="O156" s="43"/>
      <c r="P156" s="43"/>
      <c r="Q156" s="43"/>
      <c r="R156" s="43"/>
      <c r="S156" s="46"/>
      <c r="T156" s="43"/>
      <c r="U156" s="43"/>
      <c r="V156" s="77"/>
      <c r="W156" s="43"/>
      <c r="X156" s="43"/>
      <c r="Y156" s="43"/>
      <c r="Z156" s="43"/>
      <c r="AA156" s="43"/>
      <c r="AB156" s="7"/>
      <c r="AC156" s="88"/>
      <c r="AD156" s="88"/>
      <c r="AE156" s="88"/>
      <c r="AF156" s="88"/>
      <c r="AG156" s="117">
        <v>11</v>
      </c>
    </row>
    <row r="157" spans="1:33" s="117" customFormat="1" ht="11.45" customHeight="1">
      <c r="A157" s="330"/>
      <c r="B157" s="46"/>
      <c r="C157" s="46"/>
      <c r="L157" s="43"/>
      <c r="M157" s="46"/>
      <c r="N157" s="46"/>
      <c r="O157" s="43"/>
      <c r="P157" s="43"/>
      <c r="Q157" s="43"/>
      <c r="R157" s="43"/>
      <c r="S157" s="46"/>
      <c r="T157" s="43"/>
      <c r="U157" s="43"/>
      <c r="V157" s="77"/>
      <c r="W157" s="43"/>
      <c r="X157" s="43"/>
      <c r="Y157" s="43"/>
      <c r="Z157" s="43"/>
      <c r="AA157" s="43"/>
      <c r="AB157" s="7"/>
      <c r="AC157" s="88"/>
      <c r="AD157" s="88"/>
      <c r="AE157" s="88"/>
      <c r="AF157" s="88"/>
      <c r="AG157" s="117">
        <v>11</v>
      </c>
    </row>
    <row r="158" spans="1:33" s="117" customFormat="1" ht="11.45" customHeight="1">
      <c r="A158" s="330"/>
      <c r="B158" s="46"/>
      <c r="C158" s="46"/>
      <c r="L158" s="43"/>
      <c r="M158" s="46"/>
      <c r="N158" s="46"/>
      <c r="O158" s="43"/>
      <c r="P158" s="43"/>
      <c r="Q158" s="43"/>
      <c r="R158" s="43"/>
      <c r="S158" s="46"/>
      <c r="T158" s="43"/>
      <c r="U158" s="43"/>
      <c r="V158" s="77"/>
      <c r="W158" s="43"/>
      <c r="X158" s="43"/>
      <c r="Y158" s="43"/>
      <c r="Z158" s="43"/>
      <c r="AA158" s="43"/>
      <c r="AB158" s="7"/>
      <c r="AC158" s="88"/>
      <c r="AD158" s="88"/>
      <c r="AE158" s="88"/>
      <c r="AF158" s="88"/>
      <c r="AG158" s="117">
        <v>11</v>
      </c>
    </row>
    <row r="159" spans="1:33" s="117" customFormat="1" ht="11.45" customHeight="1">
      <c r="A159" s="330"/>
      <c r="B159" s="46"/>
      <c r="C159" s="46"/>
      <c r="L159" s="43"/>
      <c r="M159" s="46"/>
      <c r="N159" s="46"/>
      <c r="O159" s="43"/>
      <c r="P159" s="43"/>
      <c r="Q159" s="43"/>
      <c r="R159" s="43"/>
      <c r="S159" s="46"/>
      <c r="T159" s="43"/>
      <c r="U159" s="43"/>
      <c r="V159" s="77"/>
      <c r="W159" s="43"/>
      <c r="X159" s="43"/>
      <c r="Y159" s="43"/>
      <c r="Z159" s="43"/>
      <c r="AA159" s="43"/>
      <c r="AB159" s="7"/>
      <c r="AC159" s="88"/>
      <c r="AD159" s="88"/>
      <c r="AE159" s="88"/>
      <c r="AF159" s="88"/>
      <c r="AG159" s="117">
        <v>11</v>
      </c>
    </row>
    <row r="160" spans="1:33" s="117" customFormat="1" ht="11.45" customHeight="1">
      <c r="A160" s="330"/>
      <c r="B160" s="46"/>
      <c r="C160" s="46"/>
      <c r="L160" s="43"/>
      <c r="M160" s="46"/>
      <c r="N160" s="46"/>
      <c r="O160" s="43"/>
      <c r="P160" s="43"/>
      <c r="Q160" s="43"/>
      <c r="R160" s="43"/>
      <c r="S160" s="46"/>
      <c r="T160" s="43"/>
      <c r="U160" s="43"/>
      <c r="V160" s="77"/>
      <c r="W160" s="43"/>
      <c r="X160" s="43"/>
      <c r="Y160" s="43"/>
      <c r="Z160" s="43"/>
      <c r="AA160" s="43"/>
      <c r="AB160" s="7"/>
      <c r="AC160" s="88"/>
      <c r="AD160" s="88"/>
      <c r="AE160" s="88"/>
      <c r="AF160" s="88"/>
      <c r="AG160" s="117">
        <v>11</v>
      </c>
    </row>
    <row r="161" spans="1:33" s="117" customFormat="1" ht="11.45" customHeight="1">
      <c r="A161" s="330"/>
      <c r="B161" s="46"/>
      <c r="C161" s="46"/>
      <c r="L161" s="43"/>
      <c r="M161" s="46"/>
      <c r="N161" s="46"/>
      <c r="O161" s="43"/>
      <c r="P161" s="43"/>
      <c r="Q161" s="43"/>
      <c r="R161" s="43"/>
      <c r="S161" s="46"/>
      <c r="T161" s="43"/>
      <c r="U161" s="43"/>
      <c r="V161" s="77"/>
      <c r="W161" s="43"/>
      <c r="X161" s="43"/>
      <c r="Y161" s="43"/>
      <c r="Z161" s="43"/>
      <c r="AA161" s="43"/>
      <c r="AB161" s="7"/>
      <c r="AC161" s="88"/>
      <c r="AD161" s="88"/>
      <c r="AE161" s="88"/>
      <c r="AF161" s="88"/>
      <c r="AG161" s="117">
        <v>11</v>
      </c>
    </row>
    <row r="162" spans="1:33" s="117" customFormat="1" ht="11.45" customHeight="1">
      <c r="A162" s="330"/>
      <c r="B162" s="46"/>
      <c r="C162" s="46"/>
      <c r="L162" s="43"/>
      <c r="M162" s="46"/>
      <c r="N162" s="46"/>
      <c r="O162" s="43"/>
      <c r="P162" s="43"/>
      <c r="Q162" s="43"/>
      <c r="R162" s="43"/>
      <c r="S162" s="46"/>
      <c r="T162" s="43"/>
      <c r="U162" s="43"/>
      <c r="V162" s="77"/>
      <c r="W162" s="43"/>
      <c r="X162" s="43"/>
      <c r="Y162" s="43"/>
      <c r="Z162" s="43"/>
      <c r="AA162" s="43"/>
      <c r="AB162" s="7"/>
      <c r="AC162" s="88"/>
      <c r="AD162" s="88"/>
      <c r="AE162" s="88"/>
      <c r="AF162" s="88"/>
      <c r="AG162" s="117">
        <v>11</v>
      </c>
    </row>
    <row r="163" spans="1:33" s="117" customFormat="1" ht="11.45" customHeight="1">
      <c r="A163" s="330"/>
      <c r="B163" s="46"/>
      <c r="C163" s="46"/>
      <c r="L163" s="43"/>
      <c r="M163" s="46"/>
      <c r="N163" s="46"/>
      <c r="O163" s="43"/>
      <c r="P163" s="43"/>
      <c r="Q163" s="43"/>
      <c r="R163" s="43"/>
      <c r="S163" s="46"/>
      <c r="T163" s="43"/>
      <c r="U163" s="43"/>
      <c r="V163" s="77"/>
      <c r="W163" s="43"/>
      <c r="X163" s="43"/>
      <c r="Y163" s="43"/>
      <c r="Z163" s="43"/>
      <c r="AA163" s="43"/>
      <c r="AB163" s="7"/>
      <c r="AC163" s="88"/>
      <c r="AD163" s="88"/>
      <c r="AE163" s="88"/>
      <c r="AF163" s="88"/>
      <c r="AG163" s="117">
        <v>11</v>
      </c>
    </row>
    <row r="164" spans="1:33" s="117" customFormat="1" ht="11.45" customHeight="1">
      <c r="A164" s="330"/>
      <c r="B164" s="46"/>
      <c r="C164" s="46"/>
      <c r="L164" s="43"/>
      <c r="M164" s="46"/>
      <c r="N164" s="46"/>
      <c r="O164" s="43"/>
      <c r="P164" s="43"/>
      <c r="Q164" s="43"/>
      <c r="R164" s="43"/>
      <c r="S164" s="46"/>
      <c r="T164" s="43"/>
      <c r="U164" s="43"/>
      <c r="V164" s="77"/>
      <c r="W164" s="43"/>
      <c r="X164" s="43"/>
      <c r="Y164" s="43"/>
      <c r="Z164" s="43"/>
      <c r="AA164" s="43"/>
      <c r="AB164" s="7"/>
      <c r="AC164" s="88"/>
      <c r="AD164" s="88"/>
      <c r="AE164" s="88"/>
      <c r="AF164" s="88"/>
      <c r="AG164" s="117">
        <v>11</v>
      </c>
    </row>
    <row r="165" spans="1:33" s="117" customFormat="1" ht="11.45" customHeight="1">
      <c r="A165" s="330"/>
      <c r="B165" s="46"/>
      <c r="C165" s="46"/>
      <c r="L165" s="43"/>
      <c r="M165" s="46"/>
      <c r="N165" s="46"/>
      <c r="O165" s="43"/>
      <c r="P165" s="43"/>
      <c r="Q165" s="43"/>
      <c r="R165" s="43"/>
      <c r="S165" s="46"/>
      <c r="T165" s="43"/>
      <c r="U165" s="43"/>
      <c r="V165" s="77"/>
      <c r="W165" s="43"/>
      <c r="X165" s="43"/>
      <c r="Y165" s="43"/>
      <c r="Z165" s="43"/>
      <c r="AA165" s="43"/>
      <c r="AB165" s="7"/>
      <c r="AC165" s="88"/>
      <c r="AD165" s="88"/>
      <c r="AE165" s="88"/>
      <c r="AF165" s="88"/>
      <c r="AG165" s="117">
        <v>11</v>
      </c>
    </row>
    <row r="166" spans="1:33" s="117" customFormat="1" ht="11.45" customHeight="1">
      <c r="A166" s="330"/>
      <c r="B166" s="46"/>
      <c r="C166" s="46"/>
      <c r="L166" s="43"/>
      <c r="M166" s="46"/>
      <c r="N166" s="46"/>
      <c r="O166" s="43"/>
      <c r="P166" s="43"/>
      <c r="Q166" s="43"/>
      <c r="R166" s="43"/>
      <c r="S166" s="46"/>
      <c r="T166" s="43"/>
      <c r="U166" s="43"/>
      <c r="V166" s="77"/>
      <c r="W166" s="43"/>
      <c r="X166" s="43"/>
      <c r="Y166" s="43"/>
      <c r="Z166" s="43"/>
      <c r="AA166" s="43"/>
      <c r="AB166" s="7"/>
      <c r="AC166" s="88"/>
      <c r="AD166" s="88"/>
      <c r="AE166" s="88"/>
      <c r="AF166" s="88"/>
      <c r="AG166" s="117">
        <v>11</v>
      </c>
    </row>
    <row r="167" spans="1:33" s="117" customFormat="1" ht="11.45" customHeight="1">
      <c r="A167" s="330"/>
      <c r="B167" s="46"/>
      <c r="C167" s="46"/>
      <c r="L167" s="43"/>
      <c r="M167" s="46"/>
      <c r="N167" s="46"/>
      <c r="O167" s="43"/>
      <c r="P167" s="43"/>
      <c r="Q167" s="43"/>
      <c r="R167" s="43"/>
      <c r="S167" s="46"/>
      <c r="T167" s="43"/>
      <c r="U167" s="43"/>
      <c r="V167" s="77"/>
      <c r="W167" s="43"/>
      <c r="X167" s="43"/>
      <c r="Y167" s="43"/>
      <c r="Z167" s="43"/>
      <c r="AA167" s="43"/>
      <c r="AB167" s="7"/>
      <c r="AC167" s="88"/>
      <c r="AD167" s="88"/>
      <c r="AE167" s="88"/>
      <c r="AF167" s="88"/>
      <c r="AG167" s="117">
        <v>11</v>
      </c>
    </row>
    <row r="168" spans="1:33" s="117" customFormat="1" ht="11.45" customHeight="1">
      <c r="A168" s="330"/>
      <c r="B168" s="46"/>
      <c r="C168" s="46"/>
      <c r="L168" s="43"/>
      <c r="M168" s="46"/>
      <c r="N168" s="46"/>
      <c r="O168" s="43"/>
      <c r="P168" s="43"/>
      <c r="Q168" s="43"/>
      <c r="R168" s="43"/>
      <c r="S168" s="46"/>
      <c r="T168" s="43"/>
      <c r="U168" s="43"/>
      <c r="V168" s="77"/>
      <c r="W168" s="43"/>
      <c r="X168" s="43"/>
      <c r="Y168" s="43"/>
      <c r="Z168" s="43"/>
      <c r="AA168" s="43"/>
      <c r="AB168" s="7"/>
      <c r="AC168" s="88"/>
      <c r="AD168" s="88"/>
      <c r="AE168" s="88"/>
      <c r="AF168" s="88"/>
      <c r="AG168" s="117">
        <v>11</v>
      </c>
    </row>
    <row r="169" spans="1:33" s="117" customFormat="1" ht="11.45" customHeight="1">
      <c r="A169" s="330"/>
      <c r="B169" s="46"/>
      <c r="C169" s="46"/>
      <c r="L169" s="43"/>
      <c r="M169" s="46"/>
      <c r="N169" s="46"/>
      <c r="O169" s="43"/>
      <c r="P169" s="43"/>
      <c r="Q169" s="43"/>
      <c r="R169" s="43"/>
      <c r="S169" s="46"/>
      <c r="T169" s="43"/>
      <c r="U169" s="43"/>
      <c r="V169" s="77"/>
      <c r="W169" s="43"/>
      <c r="X169" s="43"/>
      <c r="Y169" s="43"/>
      <c r="Z169" s="43"/>
      <c r="AA169" s="43"/>
      <c r="AB169" s="7"/>
      <c r="AC169" s="88"/>
      <c r="AD169" s="88"/>
      <c r="AE169" s="88"/>
      <c r="AF169" s="88"/>
      <c r="AG169" s="117">
        <v>11</v>
      </c>
    </row>
    <row r="170" spans="1:33" s="117" customFormat="1" ht="11.45" customHeight="1">
      <c r="A170" s="330"/>
      <c r="B170" s="46"/>
      <c r="C170" s="46"/>
      <c r="L170" s="43"/>
      <c r="M170" s="46"/>
      <c r="N170" s="46"/>
      <c r="O170" s="43"/>
      <c r="P170" s="43"/>
      <c r="Q170" s="43"/>
      <c r="R170" s="43"/>
      <c r="S170" s="46"/>
      <c r="T170" s="43"/>
      <c r="U170" s="43"/>
      <c r="V170" s="77"/>
      <c r="W170" s="43"/>
      <c r="X170" s="43"/>
      <c r="Y170" s="43"/>
      <c r="Z170" s="43"/>
      <c r="AA170" s="43"/>
      <c r="AB170" s="7"/>
      <c r="AC170" s="88"/>
      <c r="AD170" s="88"/>
      <c r="AE170" s="88"/>
      <c r="AF170" s="88"/>
      <c r="AG170" s="117">
        <v>11</v>
      </c>
    </row>
    <row r="171" spans="1:33" s="117" customFormat="1" ht="11.45" customHeight="1">
      <c r="A171" s="330"/>
      <c r="B171" s="46"/>
      <c r="C171" s="46"/>
      <c r="L171" s="43"/>
      <c r="M171" s="46"/>
      <c r="N171" s="46"/>
      <c r="O171" s="43"/>
      <c r="P171" s="43"/>
      <c r="Q171" s="43"/>
      <c r="R171" s="43"/>
      <c r="S171" s="46"/>
      <c r="T171" s="43"/>
      <c r="U171" s="43"/>
      <c r="V171" s="77"/>
      <c r="W171" s="43"/>
      <c r="X171" s="43"/>
      <c r="Y171" s="43"/>
      <c r="Z171" s="43"/>
      <c r="AA171" s="43"/>
      <c r="AB171" s="7"/>
      <c r="AC171" s="88"/>
      <c r="AD171" s="88"/>
      <c r="AE171" s="88"/>
      <c r="AF171" s="88"/>
      <c r="AG171" s="117">
        <v>11</v>
      </c>
    </row>
    <row r="172" spans="1:33" s="117" customFormat="1" ht="11.45" customHeight="1">
      <c r="A172" s="330"/>
      <c r="B172" s="46"/>
      <c r="C172" s="46"/>
      <c r="L172" s="43"/>
      <c r="M172" s="46"/>
      <c r="N172" s="46"/>
      <c r="O172" s="43"/>
      <c r="P172" s="43"/>
      <c r="Q172" s="43"/>
      <c r="R172" s="43"/>
      <c r="S172" s="46"/>
      <c r="T172" s="43"/>
      <c r="U172" s="43"/>
      <c r="V172" s="77"/>
      <c r="W172" s="43"/>
      <c r="X172" s="43"/>
      <c r="Y172" s="43"/>
      <c r="Z172" s="43"/>
      <c r="AA172" s="43"/>
      <c r="AB172" s="7"/>
      <c r="AC172" s="88"/>
      <c r="AD172" s="88"/>
      <c r="AE172" s="88"/>
      <c r="AF172" s="88"/>
      <c r="AG172" s="117">
        <v>11</v>
      </c>
    </row>
    <row r="173" spans="1:33" s="117" customFormat="1" ht="11.45" customHeight="1">
      <c r="A173" s="330"/>
      <c r="B173" s="46"/>
      <c r="C173" s="46"/>
      <c r="L173" s="43"/>
      <c r="M173" s="46"/>
      <c r="N173" s="46"/>
      <c r="O173" s="43"/>
      <c r="P173" s="43"/>
      <c r="Q173" s="43"/>
      <c r="R173" s="43"/>
      <c r="S173" s="46"/>
      <c r="T173" s="43"/>
      <c r="U173" s="43"/>
      <c r="V173" s="77"/>
      <c r="W173" s="43"/>
      <c r="X173" s="43"/>
      <c r="Y173" s="43"/>
      <c r="Z173" s="43"/>
      <c r="AA173" s="43"/>
      <c r="AB173" s="7"/>
      <c r="AC173" s="88"/>
      <c r="AD173" s="88"/>
      <c r="AE173" s="88"/>
      <c r="AF173" s="88"/>
      <c r="AG173" s="117">
        <v>11</v>
      </c>
    </row>
    <row r="174" spans="1:33" s="117" customFormat="1" ht="11.45" customHeight="1">
      <c r="A174" s="330"/>
      <c r="B174" s="46"/>
      <c r="C174" s="46"/>
      <c r="L174" s="43"/>
      <c r="M174" s="46"/>
      <c r="N174" s="46"/>
      <c r="O174" s="43"/>
      <c r="P174" s="43"/>
      <c r="Q174" s="43"/>
      <c r="R174" s="43"/>
      <c r="S174" s="46"/>
      <c r="T174" s="43"/>
      <c r="U174" s="43"/>
      <c r="V174" s="77"/>
      <c r="W174" s="43"/>
      <c r="X174" s="43"/>
      <c r="Y174" s="43"/>
      <c r="Z174" s="43"/>
      <c r="AA174" s="43"/>
      <c r="AB174" s="7"/>
      <c r="AC174" s="88"/>
      <c r="AD174" s="88"/>
      <c r="AE174" s="88"/>
      <c r="AF174" s="88"/>
      <c r="AG174" s="117">
        <v>11</v>
      </c>
    </row>
    <row r="175" spans="1:33" s="117" customFormat="1" ht="11.45" customHeight="1">
      <c r="A175" s="330"/>
      <c r="B175" s="46"/>
      <c r="C175" s="46"/>
      <c r="L175" s="43"/>
      <c r="M175" s="46"/>
      <c r="N175" s="46"/>
      <c r="O175" s="43"/>
      <c r="P175" s="43"/>
      <c r="Q175" s="43"/>
      <c r="R175" s="43"/>
      <c r="S175" s="46"/>
      <c r="T175" s="43"/>
      <c r="U175" s="43"/>
      <c r="V175" s="77"/>
      <c r="W175" s="43"/>
      <c r="X175" s="43"/>
      <c r="Y175" s="43"/>
      <c r="Z175" s="43"/>
      <c r="AA175" s="43"/>
      <c r="AB175" s="7"/>
      <c r="AC175" s="88"/>
      <c r="AD175" s="88"/>
      <c r="AE175" s="88"/>
      <c r="AF175" s="88"/>
      <c r="AG175" s="117">
        <v>11</v>
      </c>
    </row>
    <row r="176" spans="1:33" s="117" customFormat="1" ht="11.45" customHeight="1">
      <c r="A176" s="330"/>
      <c r="B176" s="46"/>
      <c r="C176" s="46"/>
      <c r="L176" s="43"/>
      <c r="M176" s="46"/>
      <c r="N176" s="46"/>
      <c r="O176" s="43"/>
      <c r="P176" s="43"/>
      <c r="Q176" s="43"/>
      <c r="R176" s="43"/>
      <c r="S176" s="46"/>
      <c r="T176" s="43"/>
      <c r="U176" s="43"/>
      <c r="V176" s="77"/>
      <c r="W176" s="43"/>
      <c r="X176" s="43"/>
      <c r="Y176" s="43"/>
      <c r="Z176" s="43"/>
      <c r="AA176" s="43"/>
      <c r="AB176" s="7"/>
      <c r="AC176" s="88"/>
      <c r="AD176" s="88"/>
      <c r="AE176" s="88"/>
      <c r="AF176" s="88"/>
      <c r="AG176" s="117">
        <v>11</v>
      </c>
    </row>
    <row r="177" spans="1:33" s="117" customFormat="1" ht="11.45" customHeight="1">
      <c r="A177" s="330"/>
      <c r="B177" s="46"/>
      <c r="C177" s="46"/>
      <c r="L177" s="43"/>
      <c r="M177" s="46"/>
      <c r="N177" s="46"/>
      <c r="O177" s="43"/>
      <c r="P177" s="43"/>
      <c r="Q177" s="43"/>
      <c r="R177" s="43"/>
      <c r="S177" s="46"/>
      <c r="T177" s="43"/>
      <c r="U177" s="43"/>
      <c r="V177" s="77"/>
      <c r="W177" s="43"/>
      <c r="X177" s="43"/>
      <c r="Y177" s="43"/>
      <c r="Z177" s="43"/>
      <c r="AA177" s="43"/>
      <c r="AB177" s="7"/>
      <c r="AC177" s="88"/>
      <c r="AD177" s="88"/>
      <c r="AE177" s="88"/>
      <c r="AF177" s="88"/>
      <c r="AG177" s="117">
        <v>11</v>
      </c>
    </row>
    <row r="178" spans="1:33" s="117" customFormat="1" ht="11.45" customHeight="1">
      <c r="A178" s="330"/>
      <c r="B178" s="46"/>
      <c r="C178" s="46"/>
      <c r="L178" s="43"/>
      <c r="M178" s="46"/>
      <c r="N178" s="46"/>
      <c r="O178" s="43"/>
      <c r="P178" s="43"/>
      <c r="Q178" s="43"/>
      <c r="R178" s="43"/>
      <c r="S178" s="46"/>
      <c r="T178" s="43"/>
      <c r="U178" s="43"/>
      <c r="V178" s="77"/>
      <c r="W178" s="43"/>
      <c r="X178" s="43"/>
      <c r="Y178" s="43"/>
      <c r="Z178" s="43"/>
      <c r="AA178" s="43"/>
      <c r="AB178" s="7"/>
      <c r="AC178" s="88"/>
      <c r="AD178" s="88"/>
      <c r="AE178" s="88"/>
      <c r="AF178" s="88"/>
      <c r="AG178" s="117">
        <v>11</v>
      </c>
    </row>
    <row r="179" spans="1:33" s="117" customFormat="1" ht="11.45" customHeight="1">
      <c r="A179" s="330"/>
      <c r="B179" s="46"/>
      <c r="C179" s="46"/>
      <c r="L179" s="43"/>
      <c r="M179" s="46"/>
      <c r="N179" s="46"/>
      <c r="O179" s="43"/>
      <c r="P179" s="43"/>
      <c r="Q179" s="43"/>
      <c r="R179" s="43"/>
      <c r="S179" s="46"/>
      <c r="T179" s="43"/>
      <c r="U179" s="43"/>
      <c r="V179" s="77"/>
      <c r="W179" s="43"/>
      <c r="X179" s="43"/>
      <c r="Y179" s="43"/>
      <c r="Z179" s="43"/>
      <c r="AA179" s="43"/>
      <c r="AB179" s="7"/>
      <c r="AC179" s="88"/>
      <c r="AD179" s="88"/>
      <c r="AE179" s="88"/>
      <c r="AF179" s="88"/>
      <c r="AG179" s="117">
        <v>11</v>
      </c>
    </row>
    <row r="180" spans="1:33" s="117" customFormat="1" ht="11.45" customHeight="1">
      <c r="A180" s="330"/>
      <c r="B180" s="46"/>
      <c r="C180" s="46"/>
      <c r="L180" s="43"/>
      <c r="M180" s="46"/>
      <c r="N180" s="46"/>
      <c r="O180" s="43"/>
      <c r="P180" s="43"/>
      <c r="Q180" s="43"/>
      <c r="R180" s="43"/>
      <c r="S180" s="46"/>
      <c r="T180" s="43"/>
      <c r="U180" s="43"/>
      <c r="V180" s="77"/>
      <c r="W180" s="43"/>
      <c r="X180" s="43"/>
      <c r="Y180" s="43"/>
      <c r="Z180" s="43"/>
      <c r="AA180" s="43"/>
      <c r="AB180" s="7"/>
      <c r="AC180" s="88"/>
      <c r="AD180" s="88"/>
      <c r="AE180" s="88"/>
      <c r="AF180" s="88"/>
      <c r="AG180" s="117">
        <v>11</v>
      </c>
    </row>
    <row r="181" spans="1:33" s="117" customFormat="1" ht="11.45" customHeight="1">
      <c r="A181" s="330"/>
      <c r="B181" s="46"/>
      <c r="C181" s="46"/>
      <c r="L181" s="43"/>
      <c r="M181" s="46"/>
      <c r="N181" s="46"/>
      <c r="O181" s="43"/>
      <c r="P181" s="43"/>
      <c r="Q181" s="43"/>
      <c r="R181" s="43"/>
      <c r="S181" s="46"/>
      <c r="T181" s="43"/>
      <c r="U181" s="43"/>
      <c r="V181" s="77"/>
      <c r="W181" s="43"/>
      <c r="X181" s="43"/>
      <c r="Y181" s="43"/>
      <c r="Z181" s="43"/>
      <c r="AA181" s="43"/>
      <c r="AB181" s="7"/>
      <c r="AC181" s="88"/>
      <c r="AD181" s="88"/>
      <c r="AE181" s="88"/>
      <c r="AF181" s="88"/>
      <c r="AG181" s="117">
        <v>11</v>
      </c>
    </row>
    <row r="182" spans="1:33" s="117" customFormat="1" ht="11.45" customHeight="1">
      <c r="A182" s="330"/>
      <c r="B182" s="46"/>
      <c r="C182" s="46"/>
      <c r="L182" s="43"/>
      <c r="M182" s="46"/>
      <c r="N182" s="46"/>
      <c r="O182" s="43"/>
      <c r="P182" s="43"/>
      <c r="Q182" s="43"/>
      <c r="R182" s="43"/>
      <c r="S182" s="46"/>
      <c r="T182" s="43"/>
      <c r="U182" s="43"/>
      <c r="V182" s="77"/>
      <c r="W182" s="43"/>
      <c r="X182" s="43"/>
      <c r="Y182" s="43"/>
      <c r="Z182" s="43"/>
      <c r="AA182" s="43"/>
      <c r="AB182" s="7"/>
      <c r="AC182" s="88"/>
      <c r="AD182" s="88"/>
      <c r="AE182" s="88"/>
      <c r="AF182" s="88"/>
      <c r="AG182" s="117">
        <v>11</v>
      </c>
    </row>
    <row r="183" spans="1:33" s="117" customFormat="1" ht="11.45" customHeight="1">
      <c r="A183" s="330"/>
      <c r="B183" s="46"/>
      <c r="C183" s="46"/>
      <c r="L183" s="43"/>
      <c r="M183" s="46"/>
      <c r="N183" s="46"/>
      <c r="O183" s="43"/>
      <c r="P183" s="43"/>
      <c r="Q183" s="43"/>
      <c r="R183" s="43"/>
      <c r="S183" s="46"/>
      <c r="T183" s="43"/>
      <c r="U183" s="43"/>
      <c r="V183" s="77"/>
      <c r="W183" s="43"/>
      <c r="X183" s="43"/>
      <c r="Y183" s="43"/>
      <c r="Z183" s="43"/>
      <c r="AA183" s="43"/>
      <c r="AB183" s="7"/>
      <c r="AC183" s="88"/>
      <c r="AD183" s="88"/>
      <c r="AE183" s="88"/>
      <c r="AF183" s="88"/>
      <c r="AG183" s="117">
        <v>11</v>
      </c>
    </row>
    <row r="184" spans="1:33" s="117" customFormat="1" ht="11.45" customHeight="1">
      <c r="A184" s="330"/>
      <c r="B184" s="46"/>
      <c r="C184" s="46"/>
      <c r="L184" s="43"/>
      <c r="M184" s="46"/>
      <c r="N184" s="46"/>
      <c r="O184" s="43"/>
      <c r="P184" s="43"/>
      <c r="Q184" s="43"/>
      <c r="R184" s="43"/>
      <c r="S184" s="46"/>
      <c r="T184" s="43"/>
      <c r="U184" s="43"/>
      <c r="V184" s="77"/>
      <c r="W184" s="43"/>
      <c r="X184" s="43"/>
      <c r="Y184" s="43"/>
      <c r="Z184" s="43"/>
      <c r="AA184" s="43"/>
      <c r="AB184" s="7"/>
      <c r="AC184" s="88"/>
      <c r="AD184" s="88"/>
      <c r="AE184" s="88"/>
      <c r="AF184" s="88"/>
      <c r="AG184" s="117">
        <v>11</v>
      </c>
    </row>
    <row r="185" spans="1:33" s="117" customFormat="1" ht="11.45" customHeight="1">
      <c r="A185" s="330"/>
      <c r="B185" s="46"/>
      <c r="C185" s="46"/>
      <c r="L185" s="43"/>
      <c r="M185" s="46"/>
      <c r="N185" s="46"/>
      <c r="O185" s="43"/>
      <c r="P185" s="43"/>
      <c r="Q185" s="43"/>
      <c r="R185" s="43"/>
      <c r="S185" s="46"/>
      <c r="T185" s="43"/>
      <c r="U185" s="43"/>
      <c r="V185" s="77"/>
      <c r="W185" s="43"/>
      <c r="X185" s="43"/>
      <c r="Y185" s="43"/>
      <c r="Z185" s="43"/>
      <c r="AA185" s="43"/>
      <c r="AB185" s="7"/>
      <c r="AC185" s="88"/>
      <c r="AD185" s="88"/>
      <c r="AE185" s="88"/>
      <c r="AF185" s="88"/>
      <c r="AG185" s="117">
        <v>11</v>
      </c>
    </row>
    <row r="186" spans="1:33" s="117" customFormat="1" ht="11.45" customHeight="1">
      <c r="A186" s="330"/>
      <c r="B186" s="46"/>
      <c r="C186" s="46"/>
      <c r="L186" s="43"/>
      <c r="M186" s="46"/>
      <c r="N186" s="46"/>
      <c r="O186" s="43"/>
      <c r="P186" s="43"/>
      <c r="Q186" s="43"/>
      <c r="R186" s="43"/>
      <c r="S186" s="46"/>
      <c r="T186" s="43"/>
      <c r="U186" s="43"/>
      <c r="V186" s="77"/>
      <c r="W186" s="43"/>
      <c r="X186" s="43"/>
      <c r="Y186" s="43"/>
      <c r="Z186" s="43"/>
      <c r="AA186" s="43"/>
      <c r="AB186" s="7"/>
      <c r="AC186" s="88"/>
      <c r="AD186" s="88"/>
      <c r="AE186" s="88"/>
      <c r="AF186" s="88"/>
      <c r="AG186" s="117">
        <v>11</v>
      </c>
    </row>
    <row r="187" spans="1:33" s="117" customFormat="1" ht="11.45" customHeight="1">
      <c r="A187" s="330"/>
      <c r="B187" s="46"/>
      <c r="C187" s="46"/>
      <c r="L187" s="43"/>
      <c r="M187" s="46"/>
      <c r="N187" s="46"/>
      <c r="O187" s="43"/>
      <c r="P187" s="43"/>
      <c r="Q187" s="43"/>
      <c r="R187" s="43"/>
      <c r="S187" s="46"/>
      <c r="T187" s="43"/>
      <c r="U187" s="43"/>
      <c r="V187" s="77"/>
      <c r="W187" s="43"/>
      <c r="X187" s="43"/>
      <c r="Y187" s="43"/>
      <c r="Z187" s="43"/>
      <c r="AA187" s="43"/>
      <c r="AB187" s="7"/>
      <c r="AC187" s="88"/>
      <c r="AD187" s="88"/>
      <c r="AE187" s="88"/>
      <c r="AF187" s="88"/>
      <c r="AG187" s="117">
        <v>11</v>
      </c>
    </row>
    <row r="188" spans="1:33" s="117" customFormat="1" ht="11.45" customHeight="1">
      <c r="A188" s="330"/>
      <c r="B188" s="46"/>
      <c r="C188" s="46"/>
      <c r="L188" s="43"/>
      <c r="M188" s="46"/>
      <c r="N188" s="46"/>
      <c r="O188" s="43"/>
      <c r="P188" s="43"/>
      <c r="Q188" s="43"/>
      <c r="R188" s="43"/>
      <c r="S188" s="46"/>
      <c r="T188" s="43"/>
      <c r="U188" s="43"/>
      <c r="V188" s="77"/>
      <c r="W188" s="43"/>
      <c r="X188" s="43"/>
      <c r="Y188" s="43"/>
      <c r="Z188" s="43"/>
      <c r="AA188" s="43"/>
      <c r="AB188" s="7"/>
      <c r="AC188" s="88"/>
      <c r="AD188" s="88"/>
      <c r="AE188" s="88"/>
      <c r="AF188" s="88"/>
      <c r="AG188" s="117">
        <v>11</v>
      </c>
    </row>
    <row r="189" spans="1:33" s="117" customFormat="1" ht="11.45" customHeight="1">
      <c r="A189" s="330"/>
      <c r="B189" s="46"/>
      <c r="C189" s="46"/>
      <c r="L189" s="43"/>
      <c r="M189" s="46"/>
      <c r="N189" s="46"/>
      <c r="O189" s="43"/>
      <c r="P189" s="43"/>
      <c r="Q189" s="43"/>
      <c r="R189" s="43"/>
      <c r="S189" s="46"/>
      <c r="T189" s="43"/>
      <c r="U189" s="43"/>
      <c r="V189" s="77"/>
      <c r="W189" s="43"/>
      <c r="X189" s="43"/>
      <c r="Y189" s="43"/>
      <c r="Z189" s="43"/>
      <c r="AA189" s="43"/>
      <c r="AB189" s="7"/>
      <c r="AC189" s="88"/>
      <c r="AD189" s="88"/>
      <c r="AE189" s="88"/>
      <c r="AF189" s="88"/>
      <c r="AG189" s="117">
        <v>11</v>
      </c>
    </row>
    <row r="190" spans="1:33" s="117" customFormat="1" ht="11.45" customHeight="1">
      <c r="A190" s="330"/>
      <c r="B190" s="46"/>
      <c r="C190" s="46"/>
      <c r="L190" s="43"/>
      <c r="M190" s="46"/>
      <c r="N190" s="46"/>
      <c r="O190" s="43"/>
      <c r="P190" s="43"/>
      <c r="Q190" s="43"/>
      <c r="R190" s="43"/>
      <c r="S190" s="46"/>
      <c r="T190" s="43"/>
      <c r="U190" s="43"/>
      <c r="V190" s="77"/>
      <c r="W190" s="43"/>
      <c r="X190" s="43"/>
      <c r="Y190" s="43"/>
      <c r="Z190" s="43"/>
      <c r="AA190" s="43"/>
      <c r="AB190" s="7"/>
      <c r="AC190" s="88"/>
      <c r="AD190" s="88"/>
      <c r="AE190" s="88"/>
      <c r="AF190" s="88"/>
      <c r="AG190" s="117">
        <v>11</v>
      </c>
    </row>
    <row r="191" spans="1:33" s="117" customFormat="1" ht="11.45" customHeight="1">
      <c r="A191" s="330"/>
      <c r="B191" s="46"/>
      <c r="C191" s="46"/>
      <c r="L191" s="43"/>
      <c r="M191" s="46"/>
      <c r="N191" s="46"/>
      <c r="O191" s="43"/>
      <c r="P191" s="43"/>
      <c r="Q191" s="43"/>
      <c r="R191" s="43"/>
      <c r="S191" s="46"/>
      <c r="T191" s="43"/>
      <c r="U191" s="43"/>
      <c r="V191" s="77"/>
      <c r="W191" s="43"/>
      <c r="X191" s="43"/>
      <c r="Y191" s="43"/>
      <c r="Z191" s="43"/>
      <c r="AA191" s="43"/>
      <c r="AB191" s="7"/>
      <c r="AC191" s="88"/>
      <c r="AD191" s="88"/>
      <c r="AE191" s="88"/>
      <c r="AF191" s="88"/>
      <c r="AG191" s="117">
        <v>11</v>
      </c>
    </row>
    <row r="192" spans="1:33" s="117" customFormat="1" ht="11.45" customHeight="1">
      <c r="A192" s="330"/>
      <c r="B192" s="46"/>
      <c r="C192" s="46"/>
      <c r="L192" s="43"/>
      <c r="M192" s="46"/>
      <c r="N192" s="46"/>
      <c r="O192" s="43"/>
      <c r="P192" s="43"/>
      <c r="Q192" s="43"/>
      <c r="R192" s="43"/>
      <c r="S192" s="46"/>
      <c r="T192" s="43"/>
      <c r="U192" s="43"/>
      <c r="V192" s="77"/>
      <c r="W192" s="43"/>
      <c r="X192" s="43"/>
      <c r="Y192" s="43"/>
      <c r="Z192" s="43"/>
      <c r="AA192" s="43"/>
      <c r="AB192" s="7"/>
      <c r="AC192" s="88"/>
      <c r="AD192" s="88"/>
      <c r="AE192" s="88"/>
      <c r="AF192" s="88"/>
      <c r="AG192" s="117">
        <v>11</v>
      </c>
    </row>
    <row r="193" spans="1:33" s="117" customFormat="1" ht="11.45" customHeight="1">
      <c r="A193" s="330"/>
      <c r="B193" s="46"/>
      <c r="C193" s="46"/>
      <c r="L193" s="43"/>
      <c r="M193" s="46"/>
      <c r="N193" s="46"/>
      <c r="O193" s="43"/>
      <c r="P193" s="43"/>
      <c r="Q193" s="43"/>
      <c r="R193" s="43"/>
      <c r="S193" s="46"/>
      <c r="T193" s="43"/>
      <c r="U193" s="43"/>
      <c r="V193" s="77"/>
      <c r="W193" s="43"/>
      <c r="X193" s="43"/>
      <c r="Y193" s="43"/>
      <c r="Z193" s="43"/>
      <c r="AA193" s="43"/>
      <c r="AB193" s="7"/>
      <c r="AC193" s="88"/>
      <c r="AD193" s="88"/>
      <c r="AE193" s="88"/>
      <c r="AF193" s="88"/>
      <c r="AG193" s="117">
        <v>11</v>
      </c>
    </row>
    <row r="194" spans="1:33" s="117" customFormat="1" ht="11.45" customHeight="1">
      <c r="A194" s="330"/>
      <c r="B194" s="46"/>
      <c r="C194" s="46"/>
      <c r="L194" s="43"/>
      <c r="M194" s="46"/>
      <c r="N194" s="46"/>
      <c r="O194" s="43"/>
      <c r="P194" s="43"/>
      <c r="Q194" s="43"/>
      <c r="R194" s="43"/>
      <c r="S194" s="46"/>
      <c r="T194" s="43"/>
      <c r="U194" s="43"/>
      <c r="V194" s="77"/>
      <c r="W194" s="43"/>
      <c r="X194" s="43"/>
      <c r="Y194" s="43"/>
      <c r="Z194" s="43"/>
      <c r="AA194" s="43"/>
      <c r="AB194" s="7"/>
      <c r="AC194" s="88"/>
      <c r="AD194" s="88"/>
      <c r="AE194" s="88"/>
      <c r="AF194" s="88"/>
      <c r="AG194" s="117">
        <v>11</v>
      </c>
    </row>
    <row r="195" spans="1:33" s="117" customFormat="1" ht="11.45" customHeight="1">
      <c r="A195" s="330"/>
      <c r="B195" s="46"/>
      <c r="C195" s="46"/>
      <c r="L195" s="43"/>
      <c r="M195" s="46"/>
      <c r="N195" s="46"/>
      <c r="O195" s="43"/>
      <c r="P195" s="43"/>
      <c r="Q195" s="43"/>
      <c r="R195" s="43"/>
      <c r="S195" s="46"/>
      <c r="T195" s="43"/>
      <c r="U195" s="43"/>
      <c r="V195" s="77"/>
      <c r="W195" s="43"/>
      <c r="X195" s="43"/>
      <c r="Y195" s="43"/>
      <c r="Z195" s="43"/>
      <c r="AA195" s="43"/>
      <c r="AB195" s="7"/>
      <c r="AC195" s="88"/>
      <c r="AD195" s="88"/>
      <c r="AE195" s="88"/>
      <c r="AF195" s="88"/>
      <c r="AG195" s="117">
        <v>11</v>
      </c>
    </row>
    <row r="196" spans="1:33" ht="11.45" customHeight="1">
      <c r="AG196" s="4">
        <v>11</v>
      </c>
    </row>
    <row r="197" spans="1:33" ht="11.45" customHeight="1">
      <c r="AG197" s="4">
        <v>11</v>
      </c>
    </row>
    <row r="198" spans="1:33" ht="11.45" customHeight="1">
      <c r="AG198" s="4">
        <v>11</v>
      </c>
    </row>
    <row r="199" spans="1:33" ht="11.45" customHeight="1">
      <c r="A199" s="255"/>
      <c r="B199" s="4"/>
      <c r="L199" s="4"/>
      <c r="O199" s="4"/>
      <c r="P199" s="4"/>
      <c r="Q199" s="4"/>
      <c r="R199" s="4"/>
      <c r="T199" s="4"/>
      <c r="U199" s="4"/>
      <c r="V199" s="4"/>
      <c r="W199" s="4"/>
      <c r="X199" s="4"/>
      <c r="Y199" s="4"/>
      <c r="Z199" s="4"/>
      <c r="AA199" s="4"/>
      <c r="AB199" s="4"/>
      <c r="AC199" s="4"/>
      <c r="AD199" s="4"/>
      <c r="AE199" s="4"/>
      <c r="AF199" s="4"/>
      <c r="AG199" s="4">
        <v>11</v>
      </c>
    </row>
    <row r="200" spans="1:33" ht="11.45" customHeight="1">
      <c r="A200" s="255"/>
      <c r="B200" s="4"/>
      <c r="L200" s="4"/>
      <c r="O200" s="4"/>
      <c r="P200" s="4"/>
      <c r="Q200" s="4"/>
      <c r="R200" s="4"/>
      <c r="T200" s="4"/>
      <c r="U200" s="4"/>
      <c r="V200" s="4"/>
      <c r="W200" s="4"/>
      <c r="X200" s="4"/>
      <c r="Y200" s="4"/>
      <c r="Z200" s="4"/>
      <c r="AA200" s="4"/>
      <c r="AB200" s="4"/>
      <c r="AC200" s="4"/>
      <c r="AD200" s="4"/>
      <c r="AE200" s="4"/>
      <c r="AF200" s="4"/>
      <c r="AG200" s="4">
        <v>11</v>
      </c>
    </row>
    <row r="201" spans="1:33" ht="11.45" customHeight="1">
      <c r="A201" s="255"/>
      <c r="B201" s="4"/>
      <c r="L201" s="4"/>
      <c r="O201" s="4"/>
      <c r="P201" s="4"/>
      <c r="Q201" s="4"/>
      <c r="R201" s="4"/>
      <c r="T201" s="4"/>
      <c r="U201" s="4"/>
      <c r="V201" s="4"/>
      <c r="W201" s="4"/>
      <c r="X201" s="4"/>
      <c r="Y201" s="4"/>
      <c r="Z201" s="4"/>
      <c r="AA201" s="4"/>
      <c r="AB201" s="4"/>
      <c r="AC201" s="4"/>
      <c r="AD201" s="4"/>
      <c r="AE201" s="4"/>
      <c r="AF201" s="4"/>
      <c r="AG201" s="4">
        <v>11</v>
      </c>
    </row>
    <row r="202" spans="1:33" ht="11.45" customHeight="1">
      <c r="A202" s="255"/>
      <c r="B202" s="4"/>
      <c r="L202" s="4"/>
      <c r="O202" s="4"/>
      <c r="P202" s="4"/>
      <c r="Q202" s="4"/>
      <c r="R202" s="4"/>
      <c r="T202" s="4"/>
      <c r="U202" s="4"/>
      <c r="V202" s="4"/>
      <c r="W202" s="4"/>
      <c r="X202" s="4"/>
      <c r="Y202" s="4"/>
      <c r="Z202" s="4"/>
      <c r="AA202" s="4"/>
      <c r="AB202" s="4"/>
      <c r="AC202" s="4"/>
      <c r="AD202" s="4"/>
      <c r="AE202" s="4"/>
      <c r="AF202" s="4"/>
      <c r="AG202" s="4">
        <v>11</v>
      </c>
    </row>
    <row r="203" spans="1:33" ht="11.45" customHeight="1">
      <c r="A203" s="255"/>
      <c r="B203" s="4"/>
      <c r="L203" s="4"/>
      <c r="O203" s="4"/>
      <c r="P203" s="4"/>
      <c r="Q203" s="4"/>
      <c r="R203" s="4"/>
      <c r="T203" s="4"/>
      <c r="U203" s="4"/>
      <c r="V203" s="4"/>
      <c r="W203" s="4"/>
      <c r="X203" s="4"/>
      <c r="Y203" s="4"/>
      <c r="Z203" s="4"/>
      <c r="AA203" s="4"/>
      <c r="AB203" s="4"/>
      <c r="AC203" s="4"/>
      <c r="AD203" s="4"/>
      <c r="AE203" s="4"/>
      <c r="AF203" s="4"/>
      <c r="AG203" s="4">
        <v>11</v>
      </c>
    </row>
    <row r="204" spans="1:33" ht="11.45" customHeight="1">
      <c r="A204" s="255"/>
      <c r="B204" s="4"/>
      <c r="L204" s="4"/>
      <c r="O204" s="4"/>
      <c r="P204" s="4"/>
      <c r="Q204" s="4"/>
      <c r="R204" s="4"/>
      <c r="T204" s="4"/>
      <c r="U204" s="4"/>
      <c r="V204" s="4"/>
      <c r="W204" s="4"/>
      <c r="X204" s="4"/>
      <c r="Y204" s="4"/>
      <c r="Z204" s="4"/>
      <c r="AA204" s="4"/>
      <c r="AB204" s="4"/>
      <c r="AC204" s="4"/>
      <c r="AD204" s="4"/>
      <c r="AE204" s="4"/>
      <c r="AF204" s="4"/>
      <c r="AG204" s="4">
        <v>11</v>
      </c>
    </row>
    <row r="205" spans="1:33" ht="11.45" customHeight="1">
      <c r="A205" s="255"/>
      <c r="B205" s="4"/>
      <c r="L205" s="4"/>
      <c r="O205" s="4"/>
      <c r="P205" s="4"/>
      <c r="Q205" s="4"/>
      <c r="R205" s="4"/>
      <c r="T205" s="4"/>
      <c r="U205" s="4"/>
      <c r="V205" s="4"/>
      <c r="W205" s="4"/>
      <c r="X205" s="4"/>
      <c r="Y205" s="4"/>
      <c r="Z205" s="4"/>
      <c r="AA205" s="4"/>
      <c r="AB205" s="4"/>
      <c r="AC205" s="4"/>
      <c r="AD205" s="4"/>
      <c r="AE205" s="4"/>
      <c r="AF205" s="4"/>
      <c r="AG205" s="4">
        <v>11</v>
      </c>
    </row>
    <row r="206" spans="1:33" ht="11.45" customHeight="1">
      <c r="A206" s="255"/>
      <c r="B206" s="4"/>
      <c r="L206" s="4"/>
      <c r="O206" s="4"/>
      <c r="P206" s="4"/>
      <c r="Q206" s="4"/>
      <c r="R206" s="4"/>
      <c r="T206" s="4"/>
      <c r="U206" s="4"/>
      <c r="V206" s="4"/>
      <c r="W206" s="4"/>
      <c r="X206" s="4"/>
      <c r="Y206" s="4"/>
      <c r="Z206" s="4"/>
      <c r="AA206" s="4"/>
      <c r="AB206" s="4"/>
      <c r="AC206" s="4"/>
      <c r="AD206" s="4"/>
      <c r="AE206" s="4"/>
      <c r="AF206" s="4"/>
      <c r="AG206" s="4">
        <v>11</v>
      </c>
    </row>
    <row r="207" spans="1:33" ht="11.45" customHeight="1">
      <c r="A207" s="255"/>
      <c r="B207" s="4"/>
      <c r="L207" s="4"/>
      <c r="O207" s="4"/>
      <c r="P207" s="4"/>
      <c r="Q207" s="4"/>
      <c r="R207" s="4"/>
      <c r="T207" s="4"/>
      <c r="U207" s="4"/>
      <c r="V207" s="4"/>
      <c r="W207" s="4"/>
      <c r="X207" s="4"/>
      <c r="Y207" s="4"/>
      <c r="Z207" s="4"/>
      <c r="AA207" s="4"/>
      <c r="AB207" s="4"/>
      <c r="AC207" s="4"/>
      <c r="AD207" s="4"/>
      <c r="AE207" s="4"/>
      <c r="AF207" s="4"/>
      <c r="AG207" s="4">
        <v>11</v>
      </c>
    </row>
    <row r="208" spans="1:33" ht="11.45" customHeight="1">
      <c r="A208" s="255"/>
      <c r="B208" s="4"/>
      <c r="L208" s="4"/>
      <c r="O208" s="4"/>
      <c r="P208" s="4"/>
      <c r="Q208" s="4"/>
      <c r="R208" s="4"/>
      <c r="T208" s="4"/>
      <c r="U208" s="4"/>
      <c r="V208" s="4"/>
      <c r="W208" s="4"/>
      <c r="X208" s="4"/>
      <c r="Y208" s="4"/>
      <c r="Z208" s="4"/>
      <c r="AA208" s="4"/>
      <c r="AB208" s="4"/>
      <c r="AC208" s="4"/>
      <c r="AD208" s="4"/>
      <c r="AE208" s="4"/>
      <c r="AF208" s="4"/>
      <c r="AG208" s="4">
        <v>11</v>
      </c>
    </row>
    <row r="209" spans="1:33" ht="11.45" customHeight="1">
      <c r="A209" s="255"/>
      <c r="B209" s="4"/>
      <c r="L209" s="4"/>
      <c r="O209" s="4"/>
      <c r="P209" s="4"/>
      <c r="Q209" s="4"/>
      <c r="R209" s="4"/>
      <c r="T209" s="4"/>
      <c r="U209" s="4"/>
      <c r="V209" s="4"/>
      <c r="W209" s="4"/>
      <c r="X209" s="4"/>
      <c r="Y209" s="4"/>
      <c r="Z209" s="4"/>
      <c r="AA209" s="4"/>
      <c r="AB209" s="4"/>
      <c r="AC209" s="4"/>
      <c r="AD209" s="4"/>
      <c r="AE209" s="4"/>
      <c r="AF209" s="4"/>
      <c r="AG209" s="4">
        <v>11</v>
      </c>
    </row>
    <row r="210" spans="1:33" ht="11.25" hidden="1" customHeight="1">
      <c r="A210" s="330" t="s">
        <v>82</v>
      </c>
      <c r="B210" s="43">
        <v>0</v>
      </c>
      <c r="C210" s="46">
        <v>0</v>
      </c>
      <c r="D210" s="4">
        <v>3</v>
      </c>
      <c r="E210" s="4">
        <v>7</v>
      </c>
      <c r="F210" s="4">
        <v>54</v>
      </c>
      <c r="G210" s="4">
        <v>10</v>
      </c>
      <c r="H210" s="4">
        <v>0</v>
      </c>
      <c r="I210" s="4">
        <v>40</v>
      </c>
      <c r="J210" s="4">
        <v>0</v>
      </c>
      <c r="K210" s="4">
        <v>102</v>
      </c>
      <c r="L210" s="43">
        <v>9</v>
      </c>
      <c r="M210" s="46">
        <v>5</v>
      </c>
      <c r="N210" s="46">
        <v>3</v>
      </c>
      <c r="O210" s="43">
        <v>3</v>
      </c>
      <c r="P210" s="43">
        <v>3</v>
      </c>
      <c r="Q210" s="43">
        <v>3</v>
      </c>
      <c r="R210" s="43">
        <v>3</v>
      </c>
      <c r="S210" s="46">
        <v>10</v>
      </c>
      <c r="T210" s="43">
        <v>34</v>
      </c>
      <c r="U210" s="43">
        <v>9</v>
      </c>
      <c r="V210" s="77">
        <v>8</v>
      </c>
      <c r="W210" s="43">
        <v>8</v>
      </c>
      <c r="X210" s="43">
        <v>8</v>
      </c>
      <c r="Y210" s="43">
        <v>8</v>
      </c>
      <c r="Z210" s="43">
        <v>8</v>
      </c>
      <c r="AA210" s="43">
        <v>8</v>
      </c>
      <c r="AB210" s="7">
        <v>8</v>
      </c>
      <c r="AC210" s="7">
        <v>8</v>
      </c>
      <c r="AD210" s="7">
        <v>8</v>
      </c>
      <c r="AE210" s="7">
        <v>8</v>
      </c>
      <c r="AF210" s="7">
        <v>8</v>
      </c>
      <c r="AG210" s="4">
        <v>11</v>
      </c>
    </row>
  </sheetData>
  <sheetProtection formatColumns="0" formatRows="0" insertRows="0" deleteColumns="0" deleteRows="0" sort="0" autoFilter="0"/>
  <mergeCells count="9">
    <mergeCell ref="F40:G40"/>
    <mergeCell ref="E6:I6"/>
    <mergeCell ref="E7:I7"/>
    <mergeCell ref="F10:G10"/>
    <mergeCell ref="K10:K14"/>
    <mergeCell ref="F11:G11"/>
    <mergeCell ref="F12:G12"/>
    <mergeCell ref="E13:G13"/>
    <mergeCell ref="F39:G39"/>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J28" xr:uid="{00000000-0002-0000-2500-000000000000}">
      <formula1>900</formula1>
    </dataValidation>
    <dataValidation type="decimal" allowBlank="1" showErrorMessage="1" errorTitle="Ошибка" error="Допускается ввод только неотрицательных чисел!" sqref="H31:J31 H2:J2 H15:J15 H17:J27 H36:J37" xr:uid="{00000000-0002-0000-2500-000001000000}">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5:J35" xr:uid="{00000000-0002-0000-2500-000002000000}">
      <formula1>900</formula1>
    </dataValidation>
    <dataValidation type="decimal" allowBlank="1" showErrorMessage="1" errorTitle="Ошибка" error="Допускается ввод только действительных чисел!" sqref="H30:J30" xr:uid="{00000000-0002-0000-2500-000003000000}">
      <formula1>-9.99999999999999E+23</formula1>
      <formula2>9.99999999999999E+23</formula2>
    </dataValidation>
    <dataValidation type="decimal" allowBlank="1" showErrorMessage="1" errorTitle="Ошибка" error="Допускается ввод только действительных чисел!" sqref="H32:J34" xr:uid="{00000000-0002-0000-2500-000004000000}">
      <formula1>-9.99999999999999E+37</formula1>
      <formula2>9.99999999999999E+37</formula2>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8C60B2-DB8E-6712-1252-98CB8C94DAEC}">
  <sheetPr>
    <tabColor theme="9" tint="-0.249977111117893"/>
  </sheetPr>
  <dimension ref="A1:Z102"/>
  <sheetViews>
    <sheetView showGridLines="0" zoomScale="90" workbookViewId="0">
      <pane xSplit="8" ySplit="11" topLeftCell="I12" activePane="bottomRight" state="frozen"/>
      <selection pane="topRight" activeCell="I1" sqref="I1"/>
      <selection pane="bottomLeft" activeCell="A12" sqref="A12"/>
      <selection pane="bottomRight" activeCell="K1" sqref="K1:L1048576"/>
    </sheetView>
  </sheetViews>
  <sheetFormatPr defaultColWidth="10.5703125" defaultRowHeight="11.25" customHeight="1"/>
  <cols>
    <col min="1" max="1" width="9.140625" style="167" hidden="1" customWidth="1"/>
    <col min="2" max="2" width="3.5703125" style="46" hidden="1" customWidth="1"/>
    <col min="3" max="3" width="3" style="4" customWidth="1"/>
    <col min="4" max="4" width="7" style="4" customWidth="1"/>
    <col min="5" max="5" width="69" style="4" customWidth="1"/>
    <col min="6" max="6" width="10" style="4" customWidth="1"/>
    <col min="7" max="8" width="44" style="4" hidden="1" customWidth="1"/>
    <col min="9" max="9" width="44" style="4" customWidth="1"/>
    <col min="10" max="10" width="43" style="4" customWidth="1"/>
    <col min="11" max="12" width="44" style="4" customWidth="1"/>
    <col min="13" max="13" width="73" style="4" customWidth="1"/>
    <col min="14" max="14" width="3" style="4" customWidth="1"/>
    <col min="15" max="25" width="10" style="4" customWidth="1"/>
    <col min="26" max="26" width="10.5703125" style="4" hidden="1"/>
  </cols>
  <sheetData>
    <row r="1" spans="1:26" s="43" customFormat="1" ht="22.5" hidden="1" customHeight="1">
      <c r="A1" s="167"/>
      <c r="B1" s="46"/>
      <c r="G1" s="43">
        <v>4</v>
      </c>
      <c r="I1" s="43">
        <v>4</v>
      </c>
      <c r="K1" s="43">
        <v>4</v>
      </c>
      <c r="M1" s="43">
        <v>5</v>
      </c>
      <c r="Z1" s="43" t="s">
        <v>14</v>
      </c>
    </row>
    <row r="2" spans="1:26" ht="3" customHeight="1">
      <c r="Z2" s="4">
        <v>3</v>
      </c>
    </row>
    <row r="3" spans="1:26" ht="78.75" customHeight="1">
      <c r="D3" s="672"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3" s="673"/>
      <c r="F3" s="674"/>
      <c r="Z3" s="4">
        <v>75</v>
      </c>
    </row>
    <row r="4" spans="1:26" s="4" customFormat="1" ht="21" customHeight="1">
      <c r="A4" s="167"/>
      <c r="B4" s="46"/>
      <c r="D4" s="675" t="str">
        <f>IF(org=0,"Не определено",org)</f>
        <v>ООО "Восточная Тепловая компания"</v>
      </c>
      <c r="E4" s="676"/>
      <c r="F4" s="677"/>
      <c r="Z4" s="4">
        <v>20</v>
      </c>
    </row>
    <row r="5" spans="1:26" ht="11.45" customHeight="1">
      <c r="H5" s="247"/>
      <c r="J5" s="247"/>
      <c r="L5" s="247"/>
      <c r="Z5" s="4">
        <v>11</v>
      </c>
    </row>
    <row r="6" spans="1:26" ht="1.1499999999999999" customHeight="1">
      <c r="F6" s="125"/>
      <c r="G6" s="342"/>
      <c r="H6" s="342"/>
      <c r="I6" s="342" t="s">
        <v>118</v>
      </c>
      <c r="J6" s="342"/>
      <c r="K6" s="342" t="s">
        <v>124</v>
      </c>
      <c r="L6" s="342"/>
      <c r="Z6" s="4">
        <v>1</v>
      </c>
    </row>
    <row r="7" spans="1:26" ht="11.45" customHeight="1">
      <c r="D7" s="217"/>
      <c r="E7" s="666" t="s">
        <v>106</v>
      </c>
      <c r="F7" s="661"/>
      <c r="G7" s="742" t="str">
        <f>IF(G6="","",INDEX(DIFFERENTIATION_UNMERGE_VD,MATCH(G6,DIFFERENTIATION_ID_DIFF,0)))</f>
        <v/>
      </c>
      <c r="H7" s="744"/>
      <c r="I7" s="742" t="str">
        <f>IF(I6="","",INDEX(DIFFERENTIATION_UNMERGE_VD,MATCH(I6,DIFFERENTIATION_ID_DIFF,0)))</f>
        <v>Производство тепловой энергии. Некомбинированная выработка; Передача. Тепловая энергия; Сбыт. Тепловая энергия</v>
      </c>
      <c r="J7" s="744"/>
      <c r="K7" s="742" t="str">
        <f>IF(K6="","",INDEX(DIFFERENTIATION_UNMERGE_VD,MATCH(K6,DIFFERENTIATION_ID_DIFF,0)))</f>
        <v>Производство. Теплоноситель; Передача. Теплоноситель; Сбыт. Теплоноситель</v>
      </c>
      <c r="L7" s="744"/>
      <c r="M7" s="673"/>
      <c r="Z7" s="4">
        <v>11</v>
      </c>
    </row>
    <row r="8" spans="1:26" ht="11.45" customHeight="1">
      <c r="D8" s="217"/>
      <c r="E8" s="666" t="s">
        <v>567</v>
      </c>
      <c r="F8" s="661"/>
      <c r="G8" s="742" t="str">
        <f>IF(G6="","",INDEX(DIFFERENTIATION_UNMERGE_AREA,MATCH(G6,DIFFERENTIATION_ID_DIFF,0)))</f>
        <v/>
      </c>
      <c r="H8" s="744"/>
      <c r="I8" s="742" t="str">
        <f>IF(I6="","",INDEX(DIFFERENTIATION_UNMERGE_AREA,MATCH(I6,DIFFERENTIATION_ID_DIFF,0)))</f>
        <v>Территория 1</v>
      </c>
      <c r="J8" s="744"/>
      <c r="K8" s="742" t="str">
        <f>IF(K6="","",INDEX(DIFFERENTIATION_UNMERGE_AREA,MATCH(K6,DIFFERENTIATION_ID_DIFF,0)))</f>
        <v/>
      </c>
      <c r="L8" s="744"/>
      <c r="M8" s="705"/>
      <c r="Z8" s="4">
        <v>11</v>
      </c>
    </row>
    <row r="9" spans="1:26" ht="11.45" customHeight="1">
      <c r="D9" s="217"/>
      <c r="E9" s="666" t="s">
        <v>568</v>
      </c>
      <c r="F9" s="661"/>
      <c r="G9" s="742" t="str">
        <f>IF(G6="","",INDEX(DIFFERENTIATION_UNMERGE_SYSTEM,MATCH(G6,DIFFERENTIATION_ID_DIFF,0)))</f>
        <v/>
      </c>
      <c r="H9" s="744"/>
      <c r="I9" s="742" t="str">
        <f>IF(I6="","",INDEX(DIFFERENTIATION_UNMERGE_SYSTEM,MATCH(I6,DIFFERENTIATION_ID_DIFF,0)))</f>
        <v>д. Кисловка</v>
      </c>
      <c r="J9" s="744"/>
      <c r="K9" s="742" t="str">
        <f>IF(K6="","",INDEX(DIFFERENTIATION_UNMERGE_SYSTEM,MATCH(K6,DIFFERENTIATION_ID_DIFF,0)))</f>
        <v>д. Кисловка</v>
      </c>
      <c r="L9" s="744"/>
      <c r="M9" s="705"/>
      <c r="Z9" s="4">
        <v>11</v>
      </c>
    </row>
    <row r="10" spans="1:26" s="4" customFormat="1" ht="11.45" customHeight="1">
      <c r="A10" s="167"/>
      <c r="B10" s="46"/>
      <c r="D10" s="662" t="s">
        <v>303</v>
      </c>
      <c r="E10" s="666"/>
      <c r="F10" s="666"/>
      <c r="G10" s="666"/>
      <c r="H10" s="666"/>
      <c r="I10" s="666"/>
      <c r="J10" s="661"/>
      <c r="K10" s="223"/>
      <c r="L10" s="223"/>
      <c r="M10" s="705"/>
      <c r="Z10" s="4">
        <v>11</v>
      </c>
    </row>
    <row r="11" spans="1:26" s="4" customFormat="1" ht="24" customHeight="1">
      <c r="A11" s="665"/>
      <c r="B11" s="665"/>
      <c r="D11" s="29" t="s">
        <v>88</v>
      </c>
      <c r="E11" s="29" t="s">
        <v>810</v>
      </c>
      <c r="F11" s="29" t="s">
        <v>569</v>
      </c>
      <c r="G11" s="29" t="s">
        <v>306</v>
      </c>
      <c r="H11" s="29" t="s">
        <v>393</v>
      </c>
      <c r="I11" s="29" t="s">
        <v>306</v>
      </c>
      <c r="J11" s="217" t="s">
        <v>393</v>
      </c>
      <c r="K11" s="29" t="s">
        <v>306</v>
      </c>
      <c r="L11" s="29" t="s">
        <v>393</v>
      </c>
      <c r="M11" s="676"/>
      <c r="Z11" s="4">
        <v>23</v>
      </c>
    </row>
    <row r="12" spans="1:26" s="46" customFormat="1" ht="10.5" customHeight="1">
      <c r="A12" s="160"/>
      <c r="D12" s="160" t="s">
        <v>110</v>
      </c>
      <c r="E12" s="160" t="s">
        <v>111</v>
      </c>
      <c r="F12" s="160" t="s">
        <v>90</v>
      </c>
      <c r="G12" s="46" t="str">
        <f>G1&amp;".1"</f>
        <v>4.1</v>
      </c>
      <c r="H12" s="46" t="str">
        <f>G1&amp;".2"</f>
        <v>4.2</v>
      </c>
      <c r="I12" s="46" t="str">
        <f>I1&amp;".1"</f>
        <v>4.1</v>
      </c>
      <c r="J12" s="46" t="str">
        <f>I1&amp;".2"</f>
        <v>4.2</v>
      </c>
      <c r="K12" s="46" t="str">
        <f>K1&amp;".1"</f>
        <v>4.1</v>
      </c>
      <c r="L12" s="46" t="str">
        <f>K1&amp;".2"</f>
        <v>4.2</v>
      </c>
      <c r="Z12" s="46">
        <v>10</v>
      </c>
    </row>
    <row r="13" spans="1:26" ht="22.5" customHeight="1">
      <c r="A13" s="812" t="s">
        <v>811</v>
      </c>
      <c r="D13" s="31" t="s">
        <v>110</v>
      </c>
      <c r="E13" s="29" t="s">
        <v>812</v>
      </c>
      <c r="F13" s="110" t="s">
        <v>813</v>
      </c>
      <c r="G13" s="176"/>
      <c r="H13" s="208"/>
      <c r="I13" s="176"/>
      <c r="J13" s="208"/>
      <c r="K13" s="176"/>
      <c r="L13" s="208"/>
      <c r="M13" s="29" t="s">
        <v>814</v>
      </c>
      <c r="N13" s="232"/>
      <c r="Z13" s="4">
        <v>0</v>
      </c>
    </row>
    <row r="14" spans="1:26" ht="22.5" customHeight="1">
      <c r="A14" s="812"/>
      <c r="D14" s="31" t="s">
        <v>111</v>
      </c>
      <c r="E14" s="29" t="s">
        <v>815</v>
      </c>
      <c r="F14" s="110" t="s">
        <v>816</v>
      </c>
      <c r="G14" s="176"/>
      <c r="H14" s="208"/>
      <c r="I14" s="176"/>
      <c r="J14" s="208"/>
      <c r="K14" s="176"/>
      <c r="L14" s="208"/>
      <c r="M14" s="29" t="s">
        <v>817</v>
      </c>
      <c r="N14" s="232"/>
      <c r="Z14" s="4">
        <v>0</v>
      </c>
    </row>
    <row r="15" spans="1:26" s="4" customFormat="1" ht="78.75" customHeight="1">
      <c r="A15" s="812"/>
      <c r="B15" s="46"/>
      <c r="D15" s="31" t="s">
        <v>90</v>
      </c>
      <c r="E15" s="29" t="s">
        <v>818</v>
      </c>
      <c r="F15" s="29" t="s">
        <v>309</v>
      </c>
      <c r="G15" s="29" t="s">
        <v>309</v>
      </c>
      <c r="H15" s="25"/>
      <c r="I15" s="29" t="s">
        <v>309</v>
      </c>
      <c r="J15" s="25"/>
      <c r="K15" s="29" t="s">
        <v>309</v>
      </c>
      <c r="L15" s="25"/>
      <c r="M15" s="29" t="s">
        <v>819</v>
      </c>
      <c r="N15" s="232"/>
      <c r="Z15" s="4">
        <v>0</v>
      </c>
    </row>
    <row r="16" spans="1:26" s="4" customFormat="1" ht="22.5" customHeight="1">
      <c r="A16" s="812"/>
      <c r="B16" s="46"/>
      <c r="D16" s="31" t="s">
        <v>327</v>
      </c>
      <c r="E16" s="29" t="s">
        <v>820</v>
      </c>
      <c r="F16" s="29" t="s">
        <v>821</v>
      </c>
      <c r="G16" s="271"/>
      <c r="H16" s="25"/>
      <c r="I16" s="271"/>
      <c r="J16" s="25"/>
      <c r="K16" s="271"/>
      <c r="L16" s="25"/>
      <c r="M16" s="29"/>
      <c r="N16" s="232"/>
      <c r="Z16" s="4">
        <v>0</v>
      </c>
    </row>
    <row r="17" spans="1:26" s="4" customFormat="1" ht="22.5" customHeight="1">
      <c r="A17" s="812"/>
      <c r="B17" s="46"/>
      <c r="D17" s="31" t="s">
        <v>335</v>
      </c>
      <c r="E17" s="29" t="s">
        <v>822</v>
      </c>
      <c r="F17" s="29" t="s">
        <v>823</v>
      </c>
      <c r="G17" s="271"/>
      <c r="H17" s="25"/>
      <c r="I17" s="271"/>
      <c r="J17" s="25"/>
      <c r="K17" s="271"/>
      <c r="L17" s="25"/>
      <c r="M17" s="29"/>
      <c r="N17" s="232"/>
      <c r="Z17" s="4">
        <v>0</v>
      </c>
    </row>
    <row r="18" spans="1:26" s="4" customFormat="1" ht="33.75" customHeight="1">
      <c r="A18" s="812"/>
      <c r="B18" s="46"/>
      <c r="D18" s="31" t="s">
        <v>337</v>
      </c>
      <c r="E18" s="29" t="s">
        <v>824</v>
      </c>
      <c r="F18" s="29" t="s">
        <v>574</v>
      </c>
      <c r="G18" s="214"/>
      <c r="H18" s="25"/>
      <c r="I18" s="214"/>
      <c r="J18" s="25"/>
      <c r="K18" s="214"/>
      <c r="L18" s="25"/>
      <c r="M18" s="29"/>
      <c r="N18" s="232"/>
      <c r="Z18" s="4">
        <v>0</v>
      </c>
    </row>
    <row r="19" spans="1:26" ht="101.25" customHeight="1">
      <c r="A19" s="812"/>
      <c r="D19" s="31" t="s">
        <v>91</v>
      </c>
      <c r="E19" s="29" t="s">
        <v>825</v>
      </c>
      <c r="F19" s="110" t="s">
        <v>549</v>
      </c>
      <c r="G19" s="74"/>
      <c r="H19" s="208"/>
      <c r="I19" s="74"/>
      <c r="J19" s="208"/>
      <c r="K19" s="74"/>
      <c r="L19" s="208"/>
      <c r="M19" s="29" t="s">
        <v>826</v>
      </c>
      <c r="N19" s="232"/>
      <c r="Z19" s="4">
        <v>0</v>
      </c>
    </row>
    <row r="20" spans="1:26" s="4" customFormat="1" ht="18.75" customHeight="1">
      <c r="A20" s="812"/>
      <c r="C20" s="16"/>
      <c r="D20" s="31" t="s">
        <v>757</v>
      </c>
      <c r="E20" s="29" t="s">
        <v>827</v>
      </c>
      <c r="F20" s="29" t="s">
        <v>309</v>
      </c>
      <c r="G20" s="29" t="s">
        <v>309</v>
      </c>
      <c r="H20" s="100" t="s">
        <v>309</v>
      </c>
      <c r="I20" s="29" t="s">
        <v>309</v>
      </c>
      <c r="J20" s="100" t="s">
        <v>309</v>
      </c>
      <c r="K20" s="29" t="s">
        <v>309</v>
      </c>
      <c r="L20" s="100" t="s">
        <v>309</v>
      </c>
      <c r="M20" s="217"/>
      <c r="N20" s="232"/>
      <c r="Y20" s="166"/>
      <c r="Z20" s="4">
        <v>0</v>
      </c>
    </row>
    <row r="21" spans="1:26" s="4" customFormat="1" ht="33.75" customHeight="1">
      <c r="A21" s="812"/>
      <c r="C21" s="16"/>
      <c r="D21" s="31" t="s">
        <v>760</v>
      </c>
      <c r="E21" s="29" t="s">
        <v>828</v>
      </c>
      <c r="F21" s="29" t="s">
        <v>829</v>
      </c>
      <c r="G21" s="214"/>
      <c r="H21" s="25"/>
      <c r="I21" s="214"/>
      <c r="J21" s="25"/>
      <c r="K21" s="214"/>
      <c r="L21" s="25"/>
      <c r="M21" s="217"/>
      <c r="N21" s="232"/>
      <c r="Y21" s="166"/>
      <c r="Z21" s="4">
        <v>0</v>
      </c>
    </row>
    <row r="22" spans="1:26" s="4" customFormat="1" ht="33.75" customHeight="1">
      <c r="A22" s="812"/>
      <c r="C22" s="16"/>
      <c r="D22" s="31" t="s">
        <v>763</v>
      </c>
      <c r="E22" s="29" t="s">
        <v>830</v>
      </c>
      <c r="F22" s="29" t="s">
        <v>831</v>
      </c>
      <c r="G22" s="214"/>
      <c r="H22" s="25"/>
      <c r="I22" s="214"/>
      <c r="J22" s="25"/>
      <c r="K22" s="214"/>
      <c r="L22" s="25"/>
      <c r="M22" s="217"/>
      <c r="N22" s="232"/>
      <c r="Y22" s="166"/>
      <c r="Z22" s="4">
        <v>0</v>
      </c>
    </row>
    <row r="23" spans="1:26" s="4" customFormat="1" ht="22.5" customHeight="1">
      <c r="A23" s="812"/>
      <c r="C23" s="16"/>
      <c r="D23" s="31" t="s">
        <v>799</v>
      </c>
      <c r="E23" s="29" t="s">
        <v>832</v>
      </c>
      <c r="F23" s="29" t="s">
        <v>309</v>
      </c>
      <c r="G23" s="29" t="s">
        <v>309</v>
      </c>
      <c r="H23" s="100" t="s">
        <v>309</v>
      </c>
      <c r="I23" s="29" t="s">
        <v>309</v>
      </c>
      <c r="J23" s="100" t="s">
        <v>309</v>
      </c>
      <c r="K23" s="29" t="s">
        <v>309</v>
      </c>
      <c r="L23" s="100" t="s">
        <v>309</v>
      </c>
      <c r="M23" s="217"/>
      <c r="N23" s="232"/>
      <c r="Y23" s="166"/>
      <c r="Z23" s="4">
        <v>0</v>
      </c>
    </row>
    <row r="24" spans="1:26" s="4" customFormat="1" ht="22.5" customHeight="1">
      <c r="A24" s="812"/>
      <c r="C24" s="16"/>
      <c r="D24" s="31" t="s">
        <v>833</v>
      </c>
      <c r="E24" s="29" t="s">
        <v>834</v>
      </c>
      <c r="F24" s="29" t="s">
        <v>835</v>
      </c>
      <c r="G24" s="214"/>
      <c r="H24" s="219"/>
      <c r="I24" s="214"/>
      <c r="J24" s="219"/>
      <c r="K24" s="214"/>
      <c r="L24" s="219"/>
      <c r="M24" s="217"/>
      <c r="N24" s="232"/>
      <c r="Y24" s="166"/>
      <c r="Z24" s="4">
        <v>0</v>
      </c>
    </row>
    <row r="25" spans="1:26" s="4" customFormat="1" ht="22.5" customHeight="1">
      <c r="A25" s="812"/>
      <c r="C25" s="16"/>
      <c r="D25" s="31" t="s">
        <v>836</v>
      </c>
      <c r="E25" s="29" t="s">
        <v>837</v>
      </c>
      <c r="F25" s="29" t="s">
        <v>309</v>
      </c>
      <c r="G25" s="29" t="s">
        <v>309</v>
      </c>
      <c r="H25" s="100" t="s">
        <v>309</v>
      </c>
      <c r="I25" s="29" t="s">
        <v>309</v>
      </c>
      <c r="J25" s="100" t="s">
        <v>309</v>
      </c>
      <c r="K25" s="29" t="s">
        <v>309</v>
      </c>
      <c r="L25" s="100" t="s">
        <v>309</v>
      </c>
      <c r="M25" s="217"/>
      <c r="N25" s="232"/>
      <c r="Y25" s="166"/>
      <c r="Z25" s="4">
        <v>0</v>
      </c>
    </row>
    <row r="26" spans="1:26" s="4" customFormat="1" ht="18.75" customHeight="1">
      <c r="A26" s="812"/>
      <c r="C26" s="16"/>
      <c r="D26" s="31" t="s">
        <v>838</v>
      </c>
      <c r="E26" s="29" t="s">
        <v>839</v>
      </c>
      <c r="F26" s="29" t="s">
        <v>840</v>
      </c>
      <c r="G26" s="214"/>
      <c r="H26" s="219"/>
      <c r="I26" s="214"/>
      <c r="J26" s="219"/>
      <c r="K26" s="214"/>
      <c r="L26" s="219"/>
      <c r="M26" s="217"/>
      <c r="N26" s="232"/>
      <c r="Y26" s="166"/>
      <c r="Z26" s="4">
        <v>0</v>
      </c>
    </row>
    <row r="27" spans="1:26" s="4" customFormat="1" ht="18.75" customHeight="1">
      <c r="A27" s="812"/>
      <c r="C27" s="16"/>
      <c r="D27" s="31" t="s">
        <v>841</v>
      </c>
      <c r="E27" s="29" t="s">
        <v>842</v>
      </c>
      <c r="F27" s="29" t="s">
        <v>843</v>
      </c>
      <c r="G27" s="214"/>
      <c r="H27" s="219"/>
      <c r="I27" s="214"/>
      <c r="J27" s="219"/>
      <c r="K27" s="214"/>
      <c r="L27" s="219"/>
      <c r="M27" s="217"/>
      <c r="N27" s="232"/>
      <c r="Y27" s="166"/>
      <c r="Z27" s="4">
        <v>0</v>
      </c>
    </row>
    <row r="28" spans="1:26" s="4" customFormat="1" ht="18.75" customHeight="1">
      <c r="A28" s="812"/>
      <c r="C28" s="16"/>
      <c r="D28" s="31" t="s">
        <v>844</v>
      </c>
      <c r="E28" s="29" t="s">
        <v>845</v>
      </c>
      <c r="F28" s="29" t="s">
        <v>309</v>
      </c>
      <c r="G28" s="29" t="s">
        <v>309</v>
      </c>
      <c r="H28" s="100" t="s">
        <v>309</v>
      </c>
      <c r="I28" s="29" t="s">
        <v>309</v>
      </c>
      <c r="J28" s="100" t="s">
        <v>309</v>
      </c>
      <c r="K28" s="29" t="s">
        <v>309</v>
      </c>
      <c r="L28" s="100" t="s">
        <v>309</v>
      </c>
      <c r="M28" s="217"/>
      <c r="N28" s="232"/>
      <c r="Y28" s="166"/>
      <c r="Z28" s="4">
        <v>0</v>
      </c>
    </row>
    <row r="29" spans="1:26" s="4" customFormat="1" ht="18.75" customHeight="1">
      <c r="A29" s="812"/>
      <c r="C29" s="16"/>
      <c r="D29" s="31" t="s">
        <v>846</v>
      </c>
      <c r="E29" s="29" t="s">
        <v>839</v>
      </c>
      <c r="F29" s="29" t="s">
        <v>847</v>
      </c>
      <c r="G29" s="214"/>
      <c r="H29" s="219"/>
      <c r="I29" s="214"/>
      <c r="J29" s="219"/>
      <c r="K29" s="214"/>
      <c r="L29" s="219"/>
      <c r="M29" s="217"/>
      <c r="N29" s="232"/>
      <c r="Y29" s="166"/>
      <c r="Z29" s="4">
        <v>0</v>
      </c>
    </row>
    <row r="30" spans="1:26" s="4" customFormat="1" ht="18.75" customHeight="1">
      <c r="A30" s="812"/>
      <c r="C30" s="16"/>
      <c r="D30" s="31" t="s">
        <v>848</v>
      </c>
      <c r="E30" s="29" t="s">
        <v>849</v>
      </c>
      <c r="F30" s="29" t="s">
        <v>850</v>
      </c>
      <c r="G30" s="214"/>
      <c r="H30" s="219"/>
      <c r="I30" s="214"/>
      <c r="J30" s="219"/>
      <c r="K30" s="214"/>
      <c r="L30" s="219"/>
      <c r="M30" s="217"/>
      <c r="N30" s="232"/>
      <c r="Y30" s="166"/>
      <c r="Z30" s="4">
        <v>0</v>
      </c>
    </row>
    <row r="31" spans="1:26" ht="126.75" customHeight="1">
      <c r="A31" s="812"/>
      <c r="D31" s="31" t="s">
        <v>112</v>
      </c>
      <c r="E31" s="29" t="s">
        <v>851</v>
      </c>
      <c r="F31" s="110" t="s">
        <v>561</v>
      </c>
      <c r="G31" s="176"/>
      <c r="H31" s="208"/>
      <c r="I31" s="176"/>
      <c r="J31" s="208"/>
      <c r="K31" s="176"/>
      <c r="L31" s="208"/>
      <c r="M31" s="29" t="s">
        <v>852</v>
      </c>
      <c r="N31" s="232"/>
      <c r="Z31" s="4">
        <v>0</v>
      </c>
    </row>
    <row r="32" spans="1:26" ht="56.25" customHeight="1">
      <c r="A32" s="812"/>
      <c r="D32" s="31" t="s">
        <v>92</v>
      </c>
      <c r="E32" s="29" t="s">
        <v>853</v>
      </c>
      <c r="F32" s="31" t="s">
        <v>823</v>
      </c>
      <c r="G32" s="176"/>
      <c r="H32" s="208"/>
      <c r="I32" s="176"/>
      <c r="J32" s="208"/>
      <c r="K32" s="176"/>
      <c r="L32" s="208"/>
      <c r="M32" s="29" t="s">
        <v>854</v>
      </c>
      <c r="N32" s="232"/>
      <c r="Z32" s="4">
        <v>0</v>
      </c>
    </row>
    <row r="33" spans="1:26" ht="11.25" customHeight="1">
      <c r="A33" s="812"/>
      <c r="E33" s="39"/>
      <c r="F33" s="39"/>
      <c r="G33" s="39"/>
      <c r="H33" s="39"/>
      <c r="I33" s="39"/>
      <c r="J33" s="39"/>
      <c r="K33" s="39"/>
      <c r="L33" s="39"/>
      <c r="M33" s="39"/>
      <c r="Z33" s="4">
        <v>0</v>
      </c>
    </row>
    <row r="34" spans="1:26" ht="12.75" customHeight="1">
      <c r="A34" s="812"/>
      <c r="D34" s="4">
        <v>1</v>
      </c>
      <c r="E34" s="4" t="s">
        <v>855</v>
      </c>
      <c r="Z34" s="4">
        <v>0</v>
      </c>
    </row>
    <row r="35" spans="1:26" ht="11.25" customHeight="1">
      <c r="A35" s="812"/>
      <c r="E35" s="4" t="s">
        <v>856</v>
      </c>
      <c r="Z35" s="4">
        <v>0</v>
      </c>
    </row>
    <row r="36" spans="1:26" s="4" customFormat="1" ht="11.45" customHeight="1">
      <c r="A36" s="167"/>
      <c r="B36" s="46"/>
      <c r="Z36" s="4">
        <v>11</v>
      </c>
    </row>
    <row r="37" spans="1:26" s="4" customFormat="1" ht="22.5" hidden="1" customHeight="1">
      <c r="A37" s="812" t="s">
        <v>857</v>
      </c>
      <c r="B37" s="46"/>
      <c r="D37" s="31">
        <v>1</v>
      </c>
      <c r="E37" s="29" t="s">
        <v>858</v>
      </c>
      <c r="F37" s="110" t="s">
        <v>813</v>
      </c>
      <c r="G37" s="176"/>
      <c r="H37" s="163"/>
      <c r="I37" s="176"/>
      <c r="J37" s="163"/>
      <c r="K37" s="176"/>
      <c r="L37" s="163"/>
      <c r="M37" s="29" t="s">
        <v>859</v>
      </c>
      <c r="Z37" s="4">
        <v>0</v>
      </c>
    </row>
    <row r="38" spans="1:26" s="4" customFormat="1" ht="22.5" hidden="1" customHeight="1">
      <c r="A38" s="812"/>
      <c r="B38" s="46"/>
      <c r="D38" s="212" t="s">
        <v>111</v>
      </c>
      <c r="E38" s="350" t="s">
        <v>860</v>
      </c>
      <c r="F38" s="351" t="s">
        <v>549</v>
      </c>
      <c r="G38" s="351" t="s">
        <v>549</v>
      </c>
      <c r="H38" s="348"/>
      <c r="I38" s="351" t="s">
        <v>549</v>
      </c>
      <c r="J38" s="348"/>
      <c r="K38" s="351" t="s">
        <v>549</v>
      </c>
      <c r="L38" s="348"/>
      <c r="M38" s="349"/>
      <c r="Z38" s="4">
        <v>0</v>
      </c>
    </row>
    <row r="39" spans="1:26" s="4" customFormat="1" ht="33.75" hidden="1" customHeight="1">
      <c r="A39" s="812"/>
      <c r="B39" s="46"/>
      <c r="D39" s="209" t="s">
        <v>715</v>
      </c>
      <c r="E39" s="234" t="s">
        <v>861</v>
      </c>
      <c r="F39" s="110" t="s">
        <v>862</v>
      </c>
      <c r="G39" s="211"/>
      <c r="H39" s="343"/>
      <c r="I39" s="211"/>
      <c r="J39" s="343"/>
      <c r="K39" s="211"/>
      <c r="L39" s="343"/>
      <c r="M39" s="29" t="s">
        <v>863</v>
      </c>
      <c r="Z39" s="4">
        <v>0</v>
      </c>
    </row>
    <row r="40" spans="1:26" s="4" customFormat="1" ht="33.75" hidden="1" customHeight="1">
      <c r="A40" s="812"/>
      <c r="B40" s="46"/>
      <c r="D40" s="209" t="s">
        <v>718</v>
      </c>
      <c r="E40" s="234" t="s">
        <v>864</v>
      </c>
      <c r="F40" s="345" t="s">
        <v>865</v>
      </c>
      <c r="G40" s="241"/>
      <c r="H40" s="343"/>
      <c r="I40" s="241"/>
      <c r="J40" s="343"/>
      <c r="K40" s="241"/>
      <c r="L40" s="343"/>
      <c r="M40" s="29" t="s">
        <v>866</v>
      </c>
      <c r="Z40" s="4">
        <v>0</v>
      </c>
    </row>
    <row r="41" spans="1:26" s="4" customFormat="1" ht="22.5" hidden="1" customHeight="1">
      <c r="A41" s="812"/>
      <c r="B41" s="46"/>
      <c r="D41" s="209" t="s">
        <v>90</v>
      </c>
      <c r="E41" s="234" t="s">
        <v>867</v>
      </c>
      <c r="F41" s="110" t="s">
        <v>549</v>
      </c>
      <c r="G41" s="110" t="s">
        <v>549</v>
      </c>
      <c r="H41" s="344"/>
      <c r="I41" s="110" t="s">
        <v>549</v>
      </c>
      <c r="J41" s="344"/>
      <c r="K41" s="110" t="s">
        <v>549</v>
      </c>
      <c r="L41" s="344"/>
      <c r="M41" s="101"/>
      <c r="Z41" s="4">
        <v>0</v>
      </c>
    </row>
    <row r="42" spans="1:26" s="4" customFormat="1" ht="45" hidden="1" customHeight="1">
      <c r="A42" s="812"/>
      <c r="B42" s="46"/>
      <c r="D42" s="209" t="s">
        <v>327</v>
      </c>
      <c r="E42" s="234" t="s">
        <v>868</v>
      </c>
      <c r="F42" s="110" t="s">
        <v>561</v>
      </c>
      <c r="G42" s="176"/>
      <c r="H42" s="344"/>
      <c r="I42" s="176"/>
      <c r="J42" s="344"/>
      <c r="K42" s="176"/>
      <c r="L42" s="344"/>
      <c r="M42" s="101" t="s">
        <v>869</v>
      </c>
      <c r="Z42" s="4">
        <v>0</v>
      </c>
    </row>
    <row r="43" spans="1:26" s="4" customFormat="1" ht="45" hidden="1" customHeight="1">
      <c r="A43" s="812"/>
      <c r="B43" s="46"/>
      <c r="D43" s="209" t="s">
        <v>335</v>
      </c>
      <c r="E43" s="210" t="s">
        <v>870</v>
      </c>
      <c r="F43" s="346" t="s">
        <v>561</v>
      </c>
      <c r="G43" s="242"/>
      <c r="H43" s="343"/>
      <c r="I43" s="242"/>
      <c r="J43" s="343"/>
      <c r="K43" s="242"/>
      <c r="L43" s="343"/>
      <c r="M43" s="101" t="s">
        <v>871</v>
      </c>
      <c r="Z43" s="4">
        <v>0</v>
      </c>
    </row>
    <row r="44" spans="1:26" s="4" customFormat="1" ht="11.25" hidden="1" customHeight="1">
      <c r="A44" s="812"/>
      <c r="B44" s="46"/>
      <c r="D44" s="209" t="s">
        <v>91</v>
      </c>
      <c r="E44" s="210" t="s">
        <v>872</v>
      </c>
      <c r="F44" s="110" t="s">
        <v>862</v>
      </c>
      <c r="G44" s="211"/>
      <c r="H44" s="343"/>
      <c r="I44" s="211"/>
      <c r="J44" s="343"/>
      <c r="K44" s="211"/>
      <c r="L44" s="343"/>
      <c r="M44" s="29"/>
      <c r="Z44" s="4">
        <v>0</v>
      </c>
    </row>
    <row r="45" spans="1:26" s="4" customFormat="1" ht="11.25" hidden="1" customHeight="1">
      <c r="A45" s="812"/>
      <c r="B45" s="46"/>
      <c r="D45" s="209" t="s">
        <v>757</v>
      </c>
      <c r="E45" s="210" t="s">
        <v>873</v>
      </c>
      <c r="F45" s="110" t="s">
        <v>862</v>
      </c>
      <c r="G45" s="211"/>
      <c r="H45" s="343"/>
      <c r="I45" s="211"/>
      <c r="J45" s="343"/>
      <c r="K45" s="211"/>
      <c r="L45" s="343"/>
      <c r="M45" s="29"/>
      <c r="Z45" s="4">
        <v>0</v>
      </c>
    </row>
    <row r="46" spans="1:26" s="4" customFormat="1" ht="11.25" hidden="1" customHeight="1">
      <c r="A46" s="812"/>
      <c r="B46" s="46"/>
      <c r="D46" s="209" t="s">
        <v>799</v>
      </c>
      <c r="E46" s="210" t="s">
        <v>874</v>
      </c>
      <c r="F46" s="110" t="s">
        <v>862</v>
      </c>
      <c r="G46" s="211"/>
      <c r="H46" s="343"/>
      <c r="I46" s="211"/>
      <c r="J46" s="343"/>
      <c r="K46" s="211"/>
      <c r="L46" s="343"/>
      <c r="M46" s="29"/>
      <c r="Z46" s="4">
        <v>0</v>
      </c>
    </row>
    <row r="47" spans="1:26" s="4" customFormat="1" ht="11.25" hidden="1" customHeight="1">
      <c r="A47" s="812"/>
      <c r="B47" s="46"/>
      <c r="D47" s="209" t="s">
        <v>802</v>
      </c>
      <c r="E47" s="210" t="s">
        <v>875</v>
      </c>
      <c r="F47" s="110" t="s">
        <v>862</v>
      </c>
      <c r="G47" s="211"/>
      <c r="H47" s="343"/>
      <c r="I47" s="211"/>
      <c r="J47" s="343"/>
      <c r="K47" s="211"/>
      <c r="L47" s="343"/>
      <c r="M47" s="29"/>
      <c r="Z47" s="4">
        <v>0</v>
      </c>
    </row>
    <row r="48" spans="1:26" s="4" customFormat="1" ht="11.25" hidden="1" customHeight="1">
      <c r="A48" s="812"/>
      <c r="B48" s="46"/>
      <c r="D48" s="209" t="s">
        <v>876</v>
      </c>
      <c r="E48" s="210" t="s">
        <v>877</v>
      </c>
      <c r="F48" s="110" t="s">
        <v>862</v>
      </c>
      <c r="G48" s="211"/>
      <c r="H48" s="343"/>
      <c r="I48" s="211"/>
      <c r="J48" s="343"/>
      <c r="K48" s="211"/>
      <c r="L48" s="343"/>
      <c r="M48" s="29"/>
      <c r="Z48" s="4">
        <v>0</v>
      </c>
    </row>
    <row r="49" spans="1:26" s="4" customFormat="1" ht="11.25" hidden="1" customHeight="1">
      <c r="A49" s="812"/>
      <c r="B49" s="46"/>
      <c r="D49" s="209" t="s">
        <v>878</v>
      </c>
      <c r="E49" s="210" t="s">
        <v>879</v>
      </c>
      <c r="F49" s="110" t="s">
        <v>862</v>
      </c>
      <c r="G49" s="211"/>
      <c r="H49" s="343"/>
      <c r="I49" s="211"/>
      <c r="J49" s="343"/>
      <c r="K49" s="211"/>
      <c r="L49" s="343"/>
      <c r="M49" s="29"/>
      <c r="Z49" s="4">
        <v>0</v>
      </c>
    </row>
    <row r="50" spans="1:26" s="4" customFormat="1" ht="11.25" hidden="1" customHeight="1">
      <c r="A50" s="812"/>
      <c r="B50" s="46"/>
      <c r="D50" s="209" t="s">
        <v>880</v>
      </c>
      <c r="E50" s="210" t="s">
        <v>881</v>
      </c>
      <c r="F50" s="110" t="s">
        <v>862</v>
      </c>
      <c r="G50" s="211"/>
      <c r="H50" s="343"/>
      <c r="I50" s="211"/>
      <c r="J50" s="343"/>
      <c r="K50" s="211"/>
      <c r="L50" s="343"/>
      <c r="M50" s="29"/>
      <c r="Z50" s="4">
        <v>0</v>
      </c>
    </row>
    <row r="51" spans="1:26" s="4" customFormat="1" ht="11.25" hidden="1" customHeight="1">
      <c r="A51" s="812"/>
      <c r="B51" s="46"/>
      <c r="D51" s="209" t="s">
        <v>882</v>
      </c>
      <c r="E51" s="210" t="s">
        <v>883</v>
      </c>
      <c r="F51" s="110" t="s">
        <v>862</v>
      </c>
      <c r="G51" s="211"/>
      <c r="H51" s="343"/>
      <c r="I51" s="211"/>
      <c r="J51" s="343"/>
      <c r="K51" s="211"/>
      <c r="L51" s="343"/>
      <c r="M51" s="29"/>
      <c r="Z51" s="4">
        <v>0</v>
      </c>
    </row>
    <row r="52" spans="1:26" s="4" customFormat="1" ht="45" hidden="1" customHeight="1">
      <c r="A52" s="812"/>
      <c r="B52" s="46"/>
      <c r="D52" s="209" t="s">
        <v>112</v>
      </c>
      <c r="E52" s="210" t="s">
        <v>884</v>
      </c>
      <c r="F52" s="110" t="s">
        <v>862</v>
      </c>
      <c r="G52" s="211"/>
      <c r="H52" s="343"/>
      <c r="I52" s="211"/>
      <c r="J52" s="343"/>
      <c r="K52" s="211"/>
      <c r="L52" s="343"/>
      <c r="M52" s="29"/>
      <c r="Z52" s="4">
        <v>0</v>
      </c>
    </row>
    <row r="53" spans="1:26" s="4" customFormat="1" ht="11.25" hidden="1" customHeight="1">
      <c r="A53" s="812"/>
      <c r="B53" s="46"/>
      <c r="D53" s="209" t="s">
        <v>316</v>
      </c>
      <c r="E53" s="210" t="s">
        <v>873</v>
      </c>
      <c r="F53" s="110" t="s">
        <v>862</v>
      </c>
      <c r="G53" s="211"/>
      <c r="H53" s="343"/>
      <c r="I53" s="211"/>
      <c r="J53" s="343"/>
      <c r="K53" s="211"/>
      <c r="L53" s="343"/>
      <c r="M53" s="29"/>
      <c r="Z53" s="4">
        <v>0</v>
      </c>
    </row>
    <row r="54" spans="1:26" s="4" customFormat="1" ht="11.25" hidden="1" customHeight="1">
      <c r="A54" s="812"/>
      <c r="B54" s="46"/>
      <c r="D54" s="209" t="s">
        <v>885</v>
      </c>
      <c r="E54" s="210" t="s">
        <v>874</v>
      </c>
      <c r="F54" s="110" t="s">
        <v>862</v>
      </c>
      <c r="G54" s="211"/>
      <c r="H54" s="343"/>
      <c r="I54" s="211"/>
      <c r="J54" s="343"/>
      <c r="K54" s="211"/>
      <c r="L54" s="343"/>
      <c r="M54" s="29"/>
      <c r="Z54" s="4">
        <v>0</v>
      </c>
    </row>
    <row r="55" spans="1:26" s="4" customFormat="1" ht="11.25" hidden="1" customHeight="1">
      <c r="A55" s="812"/>
      <c r="B55" s="46"/>
      <c r="D55" s="209" t="s">
        <v>886</v>
      </c>
      <c r="E55" s="210" t="s">
        <v>875</v>
      </c>
      <c r="F55" s="110" t="s">
        <v>862</v>
      </c>
      <c r="G55" s="211"/>
      <c r="H55" s="343"/>
      <c r="I55" s="211"/>
      <c r="J55" s="343"/>
      <c r="K55" s="211"/>
      <c r="L55" s="343"/>
      <c r="M55" s="29"/>
      <c r="Z55" s="4">
        <v>0</v>
      </c>
    </row>
    <row r="56" spans="1:26" s="4" customFormat="1" ht="11.25" hidden="1" customHeight="1">
      <c r="A56" s="812"/>
      <c r="B56" s="46"/>
      <c r="D56" s="209" t="s">
        <v>887</v>
      </c>
      <c r="E56" s="210" t="s">
        <v>877</v>
      </c>
      <c r="F56" s="110" t="s">
        <v>862</v>
      </c>
      <c r="G56" s="211"/>
      <c r="H56" s="343"/>
      <c r="I56" s="211"/>
      <c r="J56" s="343"/>
      <c r="K56" s="211"/>
      <c r="L56" s="343"/>
      <c r="M56" s="29"/>
      <c r="Z56" s="4">
        <v>0</v>
      </c>
    </row>
    <row r="57" spans="1:26" s="4" customFormat="1" ht="11.25" hidden="1" customHeight="1">
      <c r="A57" s="812"/>
      <c r="B57" s="46"/>
      <c r="D57" s="209" t="s">
        <v>888</v>
      </c>
      <c r="E57" s="210" t="s">
        <v>879</v>
      </c>
      <c r="F57" s="110" t="s">
        <v>862</v>
      </c>
      <c r="G57" s="211"/>
      <c r="H57" s="343"/>
      <c r="I57" s="211"/>
      <c r="J57" s="343"/>
      <c r="K57" s="211"/>
      <c r="L57" s="343"/>
      <c r="M57" s="29"/>
      <c r="Z57" s="4">
        <v>0</v>
      </c>
    </row>
    <row r="58" spans="1:26" s="4" customFormat="1" ht="11.25" hidden="1" customHeight="1">
      <c r="A58" s="812"/>
      <c r="B58" s="46"/>
      <c r="D58" s="209" t="s">
        <v>889</v>
      </c>
      <c r="E58" s="210" t="s">
        <v>881</v>
      </c>
      <c r="F58" s="110" t="s">
        <v>862</v>
      </c>
      <c r="G58" s="211"/>
      <c r="H58" s="343"/>
      <c r="I58" s="211"/>
      <c r="J58" s="343"/>
      <c r="K58" s="211"/>
      <c r="L58" s="343"/>
      <c r="M58" s="29"/>
      <c r="Z58" s="4">
        <v>0</v>
      </c>
    </row>
    <row r="59" spans="1:26" s="4" customFormat="1" ht="11.25" hidden="1" customHeight="1">
      <c r="A59" s="812"/>
      <c r="B59" s="46"/>
      <c r="D59" s="209" t="s">
        <v>890</v>
      </c>
      <c r="E59" s="210" t="s">
        <v>883</v>
      </c>
      <c r="F59" s="110" t="s">
        <v>862</v>
      </c>
      <c r="G59" s="211"/>
      <c r="H59" s="343"/>
      <c r="I59" s="211"/>
      <c r="J59" s="343"/>
      <c r="K59" s="211"/>
      <c r="L59" s="343"/>
      <c r="M59" s="29"/>
      <c r="Z59" s="4">
        <v>0</v>
      </c>
    </row>
    <row r="60" spans="1:26" s="4" customFormat="1" ht="33.75" hidden="1" customHeight="1">
      <c r="A60" s="812"/>
      <c r="B60" s="46"/>
      <c r="D60" s="209" t="s">
        <v>92</v>
      </c>
      <c r="E60" s="210" t="s">
        <v>891</v>
      </c>
      <c r="F60" s="233" t="s">
        <v>561</v>
      </c>
      <c r="G60" s="242"/>
      <c r="H60" s="343"/>
      <c r="I60" s="242"/>
      <c r="J60" s="343"/>
      <c r="K60" s="242"/>
      <c r="L60" s="343"/>
      <c r="M60" s="101" t="s">
        <v>892</v>
      </c>
      <c r="Z60" s="4">
        <v>0</v>
      </c>
    </row>
    <row r="61" spans="1:26" s="4" customFormat="1" ht="33.75" hidden="1" customHeight="1">
      <c r="A61" s="812"/>
      <c r="B61" s="46"/>
      <c r="D61" s="209" t="s">
        <v>93</v>
      </c>
      <c r="E61" s="210" t="s">
        <v>893</v>
      </c>
      <c r="F61" s="237" t="s">
        <v>823</v>
      </c>
      <c r="G61" s="211"/>
      <c r="H61" s="343"/>
      <c r="I61" s="211"/>
      <c r="J61" s="343"/>
      <c r="K61" s="211"/>
      <c r="L61" s="343"/>
      <c r="M61" s="29"/>
      <c r="Z61" s="4">
        <v>0</v>
      </c>
    </row>
    <row r="62" spans="1:26" s="4" customFormat="1" ht="22.5" hidden="1" customHeight="1">
      <c r="A62" s="812"/>
      <c r="B62" s="46" t="s">
        <v>591</v>
      </c>
      <c r="D62" s="209" t="s">
        <v>113</v>
      </c>
      <c r="E62" s="210" t="s">
        <v>894</v>
      </c>
      <c r="F62" s="237" t="s">
        <v>309</v>
      </c>
      <c r="G62" s="72"/>
      <c r="H62" s="343"/>
      <c r="I62" s="72"/>
      <c r="J62" s="343"/>
      <c r="K62" s="72"/>
      <c r="L62" s="343"/>
      <c r="M62" s="29" t="s">
        <v>635</v>
      </c>
      <c r="Z62" s="4">
        <v>0</v>
      </c>
    </row>
    <row r="63" spans="1:26" s="4" customFormat="1" ht="45" hidden="1" customHeight="1">
      <c r="A63" s="812"/>
      <c r="B63" s="46" t="s">
        <v>591</v>
      </c>
      <c r="D63" s="209" t="s">
        <v>895</v>
      </c>
      <c r="E63" s="210" t="s">
        <v>896</v>
      </c>
      <c r="F63" s="233" t="s">
        <v>309</v>
      </c>
      <c r="G63" s="72"/>
      <c r="H63" s="343"/>
      <c r="I63" s="72"/>
      <c r="J63" s="343"/>
      <c r="K63" s="72"/>
      <c r="L63" s="343"/>
      <c r="M63" s="29" t="s">
        <v>635</v>
      </c>
      <c r="Z63" s="4">
        <v>0</v>
      </c>
    </row>
    <row r="64" spans="1:26" s="4" customFormat="1" ht="11.45" customHeight="1">
      <c r="A64" s="167"/>
      <c r="B64" s="46"/>
      <c r="Z64" s="4">
        <v>11</v>
      </c>
    </row>
    <row r="65" spans="1:26" s="4" customFormat="1" ht="22.5" hidden="1" customHeight="1">
      <c r="A65" s="812" t="s">
        <v>897</v>
      </c>
      <c r="B65" s="46"/>
      <c r="D65" s="209">
        <v>1</v>
      </c>
      <c r="E65" s="244" t="s">
        <v>898</v>
      </c>
      <c r="F65" s="240" t="s">
        <v>813</v>
      </c>
      <c r="G65" s="241"/>
      <c r="H65" s="347"/>
      <c r="I65" s="241"/>
      <c r="J65" s="347"/>
      <c r="K65" s="241"/>
      <c r="L65" s="347"/>
      <c r="M65" s="100" t="s">
        <v>899</v>
      </c>
      <c r="Z65" s="4">
        <v>0</v>
      </c>
    </row>
    <row r="66" spans="1:26" s="4" customFormat="1" ht="56.25" hidden="1" customHeight="1">
      <c r="A66" s="812"/>
      <c r="B66" s="46"/>
      <c r="D66" s="243" t="s">
        <v>111</v>
      </c>
      <c r="E66" s="29" t="s">
        <v>900</v>
      </c>
      <c r="F66" s="110" t="s">
        <v>549</v>
      </c>
      <c r="G66" s="110" t="s">
        <v>549</v>
      </c>
      <c r="H66" s="163"/>
      <c r="I66" s="110" t="s">
        <v>549</v>
      </c>
      <c r="J66" s="163"/>
      <c r="K66" s="110" t="s">
        <v>549</v>
      </c>
      <c r="L66" s="163"/>
      <c r="M66" s="29"/>
      <c r="Z66" s="4">
        <v>0</v>
      </c>
    </row>
    <row r="67" spans="1:26" s="4" customFormat="1" ht="33.75" hidden="1" customHeight="1">
      <c r="A67" s="812"/>
      <c r="B67" s="46"/>
      <c r="D67" s="243" t="s">
        <v>712</v>
      </c>
      <c r="E67" s="29" t="s">
        <v>901</v>
      </c>
      <c r="F67" s="110" t="s">
        <v>865</v>
      </c>
      <c r="G67" s="238"/>
      <c r="H67" s="163"/>
      <c r="I67" s="238"/>
      <c r="J67" s="163"/>
      <c r="K67" s="238"/>
      <c r="L67" s="163"/>
      <c r="M67" s="29"/>
      <c r="Z67" s="4">
        <v>0</v>
      </c>
    </row>
    <row r="68" spans="1:26" s="4" customFormat="1" ht="22.5" hidden="1" customHeight="1">
      <c r="A68" s="812"/>
      <c r="B68" s="46"/>
      <c r="D68" s="243" t="s">
        <v>310</v>
      </c>
      <c r="E68" s="29" t="s">
        <v>902</v>
      </c>
      <c r="F68" s="110" t="s">
        <v>865</v>
      </c>
      <c r="G68" s="238"/>
      <c r="H68" s="163"/>
      <c r="I68" s="238"/>
      <c r="J68" s="163"/>
      <c r="K68" s="238"/>
      <c r="L68" s="163"/>
      <c r="M68" s="29"/>
      <c r="Z68" s="4">
        <v>0</v>
      </c>
    </row>
    <row r="69" spans="1:26" s="4" customFormat="1" ht="22.5" hidden="1" customHeight="1">
      <c r="A69" s="812"/>
      <c r="B69" s="46"/>
      <c r="D69" s="243" t="s">
        <v>313</v>
      </c>
      <c r="E69" s="29" t="s">
        <v>903</v>
      </c>
      <c r="F69" s="233" t="s">
        <v>561</v>
      </c>
      <c r="G69" s="242"/>
      <c r="H69" s="163"/>
      <c r="I69" s="242"/>
      <c r="J69" s="163"/>
      <c r="K69" s="242"/>
      <c r="L69" s="163"/>
      <c r="M69" s="29"/>
      <c r="Z69" s="4">
        <v>0</v>
      </c>
    </row>
    <row r="70" spans="1:26" s="4" customFormat="1" ht="22.5" hidden="1" customHeight="1">
      <c r="A70" s="812"/>
      <c r="B70" s="46"/>
      <c r="D70" s="243" t="s">
        <v>732</v>
      </c>
      <c r="E70" s="29" t="s">
        <v>904</v>
      </c>
      <c r="F70" s="233" t="s">
        <v>561</v>
      </c>
      <c r="G70" s="242"/>
      <c r="H70" s="163"/>
      <c r="I70" s="242"/>
      <c r="J70" s="163"/>
      <c r="K70" s="242"/>
      <c r="L70" s="163"/>
      <c r="M70" s="29"/>
      <c r="Z70" s="4">
        <v>0</v>
      </c>
    </row>
    <row r="71" spans="1:26" s="4" customFormat="1" ht="22.5" hidden="1" customHeight="1">
      <c r="A71" s="812"/>
      <c r="B71" s="46"/>
      <c r="D71" s="209" t="s">
        <v>90</v>
      </c>
      <c r="E71" s="210" t="s">
        <v>905</v>
      </c>
      <c r="F71" s="110" t="s">
        <v>865</v>
      </c>
      <c r="G71" s="176"/>
      <c r="H71" s="348"/>
      <c r="I71" s="176"/>
      <c r="J71" s="348"/>
      <c r="K71" s="176"/>
      <c r="L71" s="348"/>
      <c r="M71" s="101"/>
      <c r="Z71" s="4">
        <v>0</v>
      </c>
    </row>
    <row r="72" spans="1:26" s="4" customFormat="1" ht="56.25" hidden="1" customHeight="1">
      <c r="A72" s="812"/>
      <c r="B72" s="46"/>
      <c r="D72" s="209" t="s">
        <v>91</v>
      </c>
      <c r="E72" s="210" t="s">
        <v>906</v>
      </c>
      <c r="F72" s="233" t="s">
        <v>561</v>
      </c>
      <c r="G72" s="242"/>
      <c r="H72" s="343"/>
      <c r="I72" s="242"/>
      <c r="J72" s="343"/>
      <c r="K72" s="242"/>
      <c r="L72" s="343"/>
      <c r="M72" s="101"/>
      <c r="Z72" s="4">
        <v>0</v>
      </c>
    </row>
    <row r="73" spans="1:26" s="4" customFormat="1" ht="33.75" hidden="1" customHeight="1">
      <c r="A73" s="812"/>
      <c r="B73" s="46"/>
      <c r="D73" s="209" t="s">
        <v>112</v>
      </c>
      <c r="E73" s="210" t="s">
        <v>907</v>
      </c>
      <c r="F73" s="237" t="s">
        <v>823</v>
      </c>
      <c r="G73" s="211"/>
      <c r="H73" s="343"/>
      <c r="I73" s="211"/>
      <c r="J73" s="343"/>
      <c r="K73" s="211"/>
      <c r="L73" s="343"/>
      <c r="M73" s="29"/>
      <c r="Z73" s="4">
        <v>0</v>
      </c>
    </row>
    <row r="74" spans="1:26" s="4" customFormat="1" ht="22.5" hidden="1" customHeight="1">
      <c r="A74" s="812"/>
      <c r="B74" s="46" t="s">
        <v>591</v>
      </c>
      <c r="D74" s="209" t="s">
        <v>92</v>
      </c>
      <c r="E74" s="210" t="s">
        <v>908</v>
      </c>
      <c r="F74" s="237" t="s">
        <v>309</v>
      </c>
      <c r="G74" s="72"/>
      <c r="H74" s="343"/>
      <c r="I74" s="72"/>
      <c r="J74" s="343"/>
      <c r="K74" s="72"/>
      <c r="L74" s="343"/>
      <c r="M74" s="29" t="s">
        <v>635</v>
      </c>
      <c r="Z74" s="4">
        <v>0</v>
      </c>
    </row>
    <row r="75" spans="1:26" s="4" customFormat="1" ht="45" hidden="1" customHeight="1">
      <c r="A75" s="812"/>
      <c r="B75" s="46" t="s">
        <v>591</v>
      </c>
      <c r="D75" s="209" t="s">
        <v>656</v>
      </c>
      <c r="E75" s="210" t="s">
        <v>909</v>
      </c>
      <c r="F75" s="233" t="s">
        <v>309</v>
      </c>
      <c r="G75" s="72"/>
      <c r="H75" s="343"/>
      <c r="I75" s="72"/>
      <c r="J75" s="343"/>
      <c r="K75" s="72"/>
      <c r="L75" s="343"/>
      <c r="M75" s="29" t="s">
        <v>635</v>
      </c>
      <c r="Z75" s="4">
        <v>0</v>
      </c>
    </row>
    <row r="76" spans="1:26" s="4" customFormat="1" ht="11.45" customHeight="1">
      <c r="A76" s="167"/>
      <c r="B76" s="46"/>
      <c r="Z76" s="4">
        <v>11</v>
      </c>
    </row>
    <row r="77" spans="1:26" s="4" customFormat="1" ht="11.25" hidden="1" customHeight="1">
      <c r="A77" s="812" t="s">
        <v>910</v>
      </c>
      <c r="B77" s="46"/>
      <c r="D77" s="209">
        <v>1</v>
      </c>
      <c r="E77" s="210" t="s">
        <v>911</v>
      </c>
      <c r="F77" s="233" t="s">
        <v>813</v>
      </c>
      <c r="G77" s="235"/>
      <c r="H77" s="343"/>
      <c r="I77" s="235"/>
      <c r="J77" s="343"/>
      <c r="K77" s="235"/>
      <c r="L77" s="343"/>
      <c r="M77" s="29" t="s">
        <v>912</v>
      </c>
      <c r="Z77" s="4">
        <v>0</v>
      </c>
    </row>
    <row r="78" spans="1:26" s="4" customFormat="1" ht="11.25" hidden="1" customHeight="1">
      <c r="A78" s="812"/>
      <c r="B78" s="46"/>
      <c r="D78" s="209" t="s">
        <v>111</v>
      </c>
      <c r="E78" s="210" t="s">
        <v>913</v>
      </c>
      <c r="F78" s="233" t="s">
        <v>813</v>
      </c>
      <c r="G78" s="235"/>
      <c r="H78" s="343"/>
      <c r="I78" s="235"/>
      <c r="J78" s="343"/>
      <c r="K78" s="235"/>
      <c r="L78" s="343"/>
      <c r="M78" s="29" t="s">
        <v>914</v>
      </c>
      <c r="Z78" s="4">
        <v>0</v>
      </c>
    </row>
    <row r="79" spans="1:26" s="4" customFormat="1" ht="22.5" hidden="1" customHeight="1">
      <c r="A79" s="812"/>
      <c r="B79" s="46"/>
      <c r="D79" s="209" t="s">
        <v>90</v>
      </c>
      <c r="E79" s="234" t="s">
        <v>915</v>
      </c>
      <c r="F79" s="110" t="s">
        <v>862</v>
      </c>
      <c r="G79" s="235"/>
      <c r="H79" s="343"/>
      <c r="I79" s="235"/>
      <c r="J79" s="343"/>
      <c r="K79" s="235"/>
      <c r="L79" s="343"/>
      <c r="M79" s="29" t="s">
        <v>916</v>
      </c>
      <c r="Z79" s="4">
        <v>0</v>
      </c>
    </row>
    <row r="80" spans="1:26" s="4" customFormat="1" ht="11.25" hidden="1" customHeight="1">
      <c r="A80" s="812"/>
      <c r="B80" s="46"/>
      <c r="D80" s="209" t="s">
        <v>327</v>
      </c>
      <c r="E80" s="234" t="s">
        <v>917</v>
      </c>
      <c r="F80" s="110" t="s">
        <v>862</v>
      </c>
      <c r="G80" s="235"/>
      <c r="H80" s="343"/>
      <c r="I80" s="235"/>
      <c r="J80" s="343"/>
      <c r="K80" s="235"/>
      <c r="L80" s="343"/>
      <c r="M80" s="29"/>
      <c r="Z80" s="4">
        <v>0</v>
      </c>
    </row>
    <row r="81" spans="1:26" s="4" customFormat="1" ht="11.25" hidden="1" customHeight="1">
      <c r="A81" s="812"/>
      <c r="B81" s="46"/>
      <c r="D81" s="209" t="s">
        <v>335</v>
      </c>
      <c r="E81" s="234" t="s">
        <v>918</v>
      </c>
      <c r="F81" s="110" t="s">
        <v>862</v>
      </c>
      <c r="G81" s="235"/>
      <c r="H81" s="343"/>
      <c r="I81" s="235"/>
      <c r="J81" s="343"/>
      <c r="K81" s="235"/>
      <c r="L81" s="343"/>
      <c r="M81" s="29"/>
      <c r="Z81" s="4">
        <v>0</v>
      </c>
    </row>
    <row r="82" spans="1:26" s="4" customFormat="1" ht="11.25" hidden="1" customHeight="1">
      <c r="A82" s="812"/>
      <c r="B82" s="46"/>
      <c r="D82" s="209" t="s">
        <v>337</v>
      </c>
      <c r="E82" s="234" t="s">
        <v>919</v>
      </c>
      <c r="F82" s="110" t="s">
        <v>862</v>
      </c>
      <c r="G82" s="235"/>
      <c r="H82" s="343"/>
      <c r="I82" s="235"/>
      <c r="J82" s="343"/>
      <c r="K82" s="235"/>
      <c r="L82" s="343"/>
      <c r="M82" s="29"/>
      <c r="Z82" s="4">
        <v>0</v>
      </c>
    </row>
    <row r="83" spans="1:26" s="4" customFormat="1" ht="11.25" hidden="1" customHeight="1">
      <c r="A83" s="812"/>
      <c r="B83" s="46"/>
      <c r="D83" s="209" t="s">
        <v>339</v>
      </c>
      <c r="E83" s="234" t="s">
        <v>920</v>
      </c>
      <c r="F83" s="110" t="s">
        <v>862</v>
      </c>
      <c r="G83" s="235"/>
      <c r="H83" s="343"/>
      <c r="I83" s="235"/>
      <c r="J83" s="343"/>
      <c r="K83" s="235"/>
      <c r="L83" s="343"/>
      <c r="M83" s="29"/>
      <c r="Z83" s="4">
        <v>0</v>
      </c>
    </row>
    <row r="84" spans="1:26" s="4" customFormat="1" ht="11.25" hidden="1" customHeight="1">
      <c r="A84" s="812"/>
      <c r="B84" s="46"/>
      <c r="D84" s="209" t="s">
        <v>921</v>
      </c>
      <c r="E84" s="234" t="s">
        <v>922</v>
      </c>
      <c r="F84" s="110" t="s">
        <v>862</v>
      </c>
      <c r="G84" s="235"/>
      <c r="H84" s="343"/>
      <c r="I84" s="235"/>
      <c r="J84" s="343"/>
      <c r="K84" s="235"/>
      <c r="L84" s="343"/>
      <c r="M84" s="29"/>
      <c r="Z84" s="4">
        <v>0</v>
      </c>
    </row>
    <row r="85" spans="1:26" s="4" customFormat="1" ht="11.25" hidden="1" customHeight="1">
      <c r="A85" s="812"/>
      <c r="B85" s="46"/>
      <c r="D85" s="209" t="s">
        <v>923</v>
      </c>
      <c r="E85" s="234" t="s">
        <v>924</v>
      </c>
      <c r="F85" s="110" t="s">
        <v>862</v>
      </c>
      <c r="G85" s="235"/>
      <c r="H85" s="343"/>
      <c r="I85" s="235"/>
      <c r="J85" s="343"/>
      <c r="K85" s="235"/>
      <c r="L85" s="343"/>
      <c r="M85" s="29"/>
      <c r="Z85" s="4">
        <v>0</v>
      </c>
    </row>
    <row r="86" spans="1:26" s="4" customFormat="1" ht="11.25" hidden="1" customHeight="1">
      <c r="A86" s="812"/>
      <c r="B86" s="46"/>
      <c r="D86" s="209" t="s">
        <v>925</v>
      </c>
      <c r="E86" s="234" t="s">
        <v>926</v>
      </c>
      <c r="F86" s="110" t="s">
        <v>862</v>
      </c>
      <c r="G86" s="235"/>
      <c r="H86" s="343"/>
      <c r="I86" s="235"/>
      <c r="J86" s="343"/>
      <c r="K86" s="235"/>
      <c r="L86" s="343"/>
      <c r="M86" s="29"/>
      <c r="Z86" s="4">
        <v>0</v>
      </c>
    </row>
    <row r="87" spans="1:26" s="4" customFormat="1" ht="45" hidden="1" customHeight="1">
      <c r="A87" s="812"/>
      <c r="B87" s="46"/>
      <c r="D87" s="209" t="s">
        <v>91</v>
      </c>
      <c r="E87" s="210" t="s">
        <v>927</v>
      </c>
      <c r="F87" s="110" t="s">
        <v>862</v>
      </c>
      <c r="G87" s="235"/>
      <c r="H87" s="343"/>
      <c r="I87" s="235"/>
      <c r="J87" s="343"/>
      <c r="K87" s="235"/>
      <c r="L87" s="343"/>
      <c r="M87" s="29" t="s">
        <v>928</v>
      </c>
      <c r="Z87" s="4">
        <v>0</v>
      </c>
    </row>
    <row r="88" spans="1:26" s="4" customFormat="1" ht="11.25" hidden="1" customHeight="1">
      <c r="A88" s="812"/>
      <c r="B88" s="46"/>
      <c r="D88" s="209" t="s">
        <v>757</v>
      </c>
      <c r="E88" s="234" t="s">
        <v>917</v>
      </c>
      <c r="F88" s="110" t="s">
        <v>862</v>
      </c>
      <c r="G88" s="235"/>
      <c r="H88" s="343"/>
      <c r="I88" s="235"/>
      <c r="J88" s="343"/>
      <c r="K88" s="235"/>
      <c r="L88" s="343"/>
      <c r="M88" s="29"/>
      <c r="Z88" s="4">
        <v>0</v>
      </c>
    </row>
    <row r="89" spans="1:26" s="4" customFormat="1" ht="11.25" hidden="1" customHeight="1">
      <c r="A89" s="812"/>
      <c r="B89" s="46"/>
      <c r="D89" s="209" t="s">
        <v>799</v>
      </c>
      <c r="E89" s="234" t="s">
        <v>918</v>
      </c>
      <c r="F89" s="110" t="s">
        <v>862</v>
      </c>
      <c r="G89" s="235"/>
      <c r="H89" s="343"/>
      <c r="I89" s="235"/>
      <c r="J89" s="343"/>
      <c r="K89" s="235"/>
      <c r="L89" s="343"/>
      <c r="M89" s="29"/>
      <c r="Z89" s="4">
        <v>0</v>
      </c>
    </row>
    <row r="90" spans="1:26" s="4" customFormat="1" ht="11.25" hidden="1" customHeight="1">
      <c r="A90" s="812"/>
      <c r="B90" s="46"/>
      <c r="D90" s="209" t="s">
        <v>802</v>
      </c>
      <c r="E90" s="234" t="s">
        <v>919</v>
      </c>
      <c r="F90" s="110" t="s">
        <v>862</v>
      </c>
      <c r="G90" s="235"/>
      <c r="H90" s="343"/>
      <c r="I90" s="235"/>
      <c r="J90" s="343"/>
      <c r="K90" s="235"/>
      <c r="L90" s="343"/>
      <c r="M90" s="29"/>
      <c r="Z90" s="4">
        <v>0</v>
      </c>
    </row>
    <row r="91" spans="1:26" s="4" customFormat="1" ht="11.25" hidden="1" customHeight="1">
      <c r="A91" s="812"/>
      <c r="B91" s="46"/>
      <c r="D91" s="209" t="s">
        <v>880</v>
      </c>
      <c r="E91" s="234" t="s">
        <v>920</v>
      </c>
      <c r="F91" s="110" t="s">
        <v>862</v>
      </c>
      <c r="G91" s="235"/>
      <c r="H91" s="343"/>
      <c r="I91" s="235"/>
      <c r="J91" s="343"/>
      <c r="K91" s="235"/>
      <c r="L91" s="343"/>
      <c r="M91" s="29"/>
      <c r="Z91" s="4">
        <v>0</v>
      </c>
    </row>
    <row r="92" spans="1:26" s="4" customFormat="1" ht="11.25" hidden="1" customHeight="1">
      <c r="A92" s="812"/>
      <c r="B92" s="46"/>
      <c r="D92" s="209" t="s">
        <v>882</v>
      </c>
      <c r="E92" s="234" t="s">
        <v>922</v>
      </c>
      <c r="F92" s="110" t="s">
        <v>862</v>
      </c>
      <c r="G92" s="235"/>
      <c r="H92" s="343"/>
      <c r="I92" s="235"/>
      <c r="J92" s="343"/>
      <c r="K92" s="235"/>
      <c r="L92" s="343"/>
      <c r="M92" s="29"/>
      <c r="Z92" s="4">
        <v>0</v>
      </c>
    </row>
    <row r="93" spans="1:26" s="4" customFormat="1" ht="11.25" hidden="1" customHeight="1">
      <c r="A93" s="812"/>
      <c r="B93" s="46"/>
      <c r="D93" s="209" t="s">
        <v>929</v>
      </c>
      <c r="E93" s="234" t="s">
        <v>924</v>
      </c>
      <c r="F93" s="110" t="s">
        <v>862</v>
      </c>
      <c r="G93" s="235"/>
      <c r="H93" s="343"/>
      <c r="I93" s="235"/>
      <c r="J93" s="343"/>
      <c r="K93" s="235"/>
      <c r="L93" s="343"/>
      <c r="M93" s="29"/>
      <c r="Z93" s="4">
        <v>0</v>
      </c>
    </row>
    <row r="94" spans="1:26" s="4" customFormat="1" ht="11.25" hidden="1" customHeight="1">
      <c r="A94" s="812"/>
      <c r="B94" s="46"/>
      <c r="D94" s="209" t="s">
        <v>930</v>
      </c>
      <c r="E94" s="234" t="s">
        <v>926</v>
      </c>
      <c r="F94" s="110" t="s">
        <v>862</v>
      </c>
      <c r="G94" s="235"/>
      <c r="H94" s="343"/>
      <c r="I94" s="235"/>
      <c r="J94" s="343"/>
      <c r="K94" s="235"/>
      <c r="L94" s="343"/>
      <c r="M94" s="29"/>
      <c r="Z94" s="4">
        <v>0</v>
      </c>
    </row>
    <row r="95" spans="1:26" s="4" customFormat="1" ht="24.75" hidden="1" customHeight="1">
      <c r="A95" s="812"/>
      <c r="B95" s="46"/>
      <c r="D95" s="209" t="s">
        <v>112</v>
      </c>
      <c r="E95" s="210" t="s">
        <v>931</v>
      </c>
      <c r="F95" s="236" t="s">
        <v>561</v>
      </c>
      <c r="G95" s="238"/>
      <c r="H95" s="343"/>
      <c r="I95" s="238"/>
      <c r="J95" s="343"/>
      <c r="K95" s="238"/>
      <c r="L95" s="343"/>
      <c r="M95" s="29" t="s">
        <v>932</v>
      </c>
      <c r="Z95" s="4">
        <v>0</v>
      </c>
    </row>
    <row r="96" spans="1:26" s="4" customFormat="1" ht="33.75" hidden="1" customHeight="1">
      <c r="A96" s="812"/>
      <c r="B96" s="46"/>
      <c r="D96" s="209" t="s">
        <v>92</v>
      </c>
      <c r="E96" s="210" t="s">
        <v>933</v>
      </c>
      <c r="F96" s="237" t="s">
        <v>823</v>
      </c>
      <c r="G96" s="239"/>
      <c r="H96" s="343"/>
      <c r="I96" s="239"/>
      <c r="J96" s="343"/>
      <c r="K96" s="239"/>
      <c r="L96" s="343"/>
      <c r="M96" s="29"/>
      <c r="Z96" s="4">
        <v>0</v>
      </c>
    </row>
    <row r="97" spans="1:26" s="4" customFormat="1" ht="22.5" hidden="1" customHeight="1">
      <c r="A97" s="812"/>
      <c r="B97" s="46" t="s">
        <v>591</v>
      </c>
      <c r="D97" s="209" t="s">
        <v>93</v>
      </c>
      <c r="E97" s="210" t="s">
        <v>934</v>
      </c>
      <c r="F97" s="237" t="s">
        <v>309</v>
      </c>
      <c r="G97" s="124"/>
      <c r="H97" s="343"/>
      <c r="I97" s="124"/>
      <c r="J97" s="343"/>
      <c r="K97" s="124"/>
      <c r="L97" s="343"/>
      <c r="M97" s="29" t="s">
        <v>635</v>
      </c>
      <c r="Z97" s="4">
        <v>0</v>
      </c>
    </row>
    <row r="98" spans="1:26" s="4" customFormat="1" ht="45" hidden="1" customHeight="1">
      <c r="A98" s="812"/>
      <c r="B98" s="46" t="s">
        <v>591</v>
      </c>
      <c r="D98" s="209" t="s">
        <v>935</v>
      </c>
      <c r="E98" s="210" t="s">
        <v>936</v>
      </c>
      <c r="F98" s="233" t="s">
        <v>309</v>
      </c>
      <c r="G98" s="124"/>
      <c r="H98" s="343"/>
      <c r="I98" s="124"/>
      <c r="J98" s="343"/>
      <c r="K98" s="124"/>
      <c r="L98" s="343"/>
      <c r="M98" s="29" t="s">
        <v>635</v>
      </c>
      <c r="Z98" s="4">
        <v>0</v>
      </c>
    </row>
    <row r="99" spans="1:26" s="4" customFormat="1" ht="95.25" hidden="1" customHeight="1">
      <c r="A99" s="812"/>
      <c r="B99" s="46" t="s">
        <v>591</v>
      </c>
      <c r="D99" s="209" t="s">
        <v>113</v>
      </c>
      <c r="E99" s="210" t="s">
        <v>937</v>
      </c>
      <c r="F99" s="233" t="s">
        <v>309</v>
      </c>
      <c r="G99" s="124"/>
      <c r="H99" s="343"/>
      <c r="I99" s="124"/>
      <c r="J99" s="343"/>
      <c r="K99" s="124"/>
      <c r="L99" s="343"/>
      <c r="M99" s="29" t="s">
        <v>635</v>
      </c>
      <c r="Z99" s="4">
        <v>0</v>
      </c>
    </row>
    <row r="100" spans="1:26" s="4" customFormat="1" ht="22.5" hidden="1" customHeight="1">
      <c r="A100" s="812"/>
      <c r="B100" s="46" t="s">
        <v>591</v>
      </c>
      <c r="D100" s="209" t="s">
        <v>153</v>
      </c>
      <c r="E100" s="210" t="s">
        <v>938</v>
      </c>
      <c r="F100" s="233" t="s">
        <v>309</v>
      </c>
      <c r="G100" s="124"/>
      <c r="H100" s="343"/>
      <c r="I100" s="124"/>
      <c r="J100" s="343"/>
      <c r="K100" s="124"/>
      <c r="L100" s="343"/>
      <c r="M100" s="29" t="s">
        <v>635</v>
      </c>
      <c r="Z100" s="4">
        <v>0</v>
      </c>
    </row>
    <row r="101" spans="1:26" s="4" customFormat="1" ht="11.45" customHeight="1">
      <c r="A101" s="167"/>
      <c r="B101" s="46"/>
      <c r="Z101" s="4">
        <v>11</v>
      </c>
    </row>
    <row r="102" spans="1:26" ht="22.5" hidden="1" customHeight="1">
      <c r="A102" s="167" t="s">
        <v>82</v>
      </c>
      <c r="B102" s="46">
        <v>0</v>
      </c>
      <c r="C102" s="4">
        <v>3</v>
      </c>
      <c r="D102" s="4">
        <v>7</v>
      </c>
      <c r="E102" s="4">
        <v>69</v>
      </c>
      <c r="F102" s="4">
        <v>10</v>
      </c>
      <c r="G102" s="4">
        <v>0</v>
      </c>
      <c r="H102" s="4">
        <v>0</v>
      </c>
      <c r="I102" s="4">
        <v>43</v>
      </c>
      <c r="J102" s="4">
        <v>43</v>
      </c>
      <c r="K102" s="4">
        <v>0</v>
      </c>
      <c r="L102" s="4">
        <v>0</v>
      </c>
      <c r="M102" s="4">
        <v>73</v>
      </c>
      <c r="N102" s="4">
        <v>3</v>
      </c>
      <c r="O102" s="4">
        <v>10</v>
      </c>
      <c r="P102" s="4">
        <v>10</v>
      </c>
      <c r="Q102" s="4">
        <v>10</v>
      </c>
      <c r="R102" s="4">
        <v>10</v>
      </c>
      <c r="S102" s="4">
        <v>10</v>
      </c>
      <c r="T102" s="4">
        <v>10</v>
      </c>
      <c r="U102" s="4">
        <v>10</v>
      </c>
      <c r="V102" s="4">
        <v>10</v>
      </c>
      <c r="W102" s="4">
        <v>10</v>
      </c>
      <c r="X102" s="4">
        <v>10</v>
      </c>
      <c r="Y102" s="4">
        <v>10</v>
      </c>
      <c r="Z102" s="4">
        <v>23</v>
      </c>
    </row>
  </sheetData>
  <sheetProtection formatColumns="0" formatRows="0" insertRows="0" deleteColumns="0" deleteRows="0" sort="0" autoFilter="0"/>
  <mergeCells count="21">
    <mergeCell ref="A37:A63"/>
    <mergeCell ref="A65:A75"/>
    <mergeCell ref="A77:A100"/>
    <mergeCell ref="A13:A35"/>
    <mergeCell ref="A11:B11"/>
    <mergeCell ref="D3:F3"/>
    <mergeCell ref="M7:M11"/>
    <mergeCell ref="G7:H7"/>
    <mergeCell ref="E7:F7"/>
    <mergeCell ref="E8:F8"/>
    <mergeCell ref="E9:F9"/>
    <mergeCell ref="G8:H8"/>
    <mergeCell ref="G9:H9"/>
    <mergeCell ref="D4:F4"/>
    <mergeCell ref="I7:J7"/>
    <mergeCell ref="I8:J8"/>
    <mergeCell ref="I9:J9"/>
    <mergeCell ref="D10:J10"/>
    <mergeCell ref="K7:L7"/>
    <mergeCell ref="K8:L8"/>
    <mergeCell ref="K9:L9"/>
  </mergeCells>
  <dataValidations count="6">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K19" xr:uid="{00000000-0002-0000-2600-000000000000}">
      <formula1>"Не утверждены"</formula1>
    </dataValidation>
    <dataValidation type="decimal" allowBlank="1" showErrorMessage="1" errorTitle="Ошибка" error="Введите значение от 0 до 100%" sqref="G31 G95 G60 G72 G42:G43 G69:G70 I31 I95 I60 I72 I42:I43 I69:I70 K31 K42 K43 K60 K69 K70 K72 K95" xr:uid="{00000000-0002-0000-2600-000001000000}">
      <formula1>0</formula1>
      <formula2>100</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1:H32 J31:J32 L31:L32 G62:G63 G74:G75 G97:G100 I62:I63 I74:I75 I97:I100 H13:H14 H19 J19 L19 J13:J14 L13:L14 K62 K63 K74 K75 K97 K98 K99 K100" xr:uid="{00000000-0002-0000-2600-000002000000}">
      <formula1>900</formula1>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I21:I22 G24 G21:G22 I24 K13 K14 K18 K21 K22 K24 K26 K27 K29 K30 K32 K37 K39 K40 K44 K45 K46 K47 K48 K49 K50 K51 K52 K53 K54 K55 K56 K57 K58 K59 K61 K65 K67 K68 K71 K73 K77 K78 K79 K80 K81 K82 K83 K84 K85 K86 K87 K88 K89 K90 K91 K92 K93 K94 K96" xr:uid="{00000000-0002-0000-2600-000003000000}">
      <formula1>0</formula1>
      <formula2>9.99999999999999E+23</formula2>
    </dataValidation>
    <dataValidation type="whole" allowBlank="1" showErrorMessage="1" errorTitle="Ошибка" error="Допускается ввод только неотрицательных целых чисел!" sqref="G16:G17 I16:I17 K16 K17" xr:uid="{00000000-0002-0000-2600-000004000000}">
      <formula1>0</formula1>
      <formula2>9.99999999999999E+23</formula2>
    </dataValidation>
    <dataValidation type="textLength" operator="lessThanOrEqual" allowBlank="1" showInputMessage="1" showErrorMessage="1" errorTitle="Ошибка" error="Допускается ввод не более 900 символов!" sqref="H21:H22 H29:H30 H24 H26:H27 H15:H18 J26:J27 L26:L27 J15:J18 L15:L18 J21:J22 L21:L22 J29:J30 L29:L30 J24 L24" xr:uid="{00000000-0002-0000-2600-000005000000}">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7F0BDD-8252-F992-B005-EB71F2A3A77C}">
  <sheetPr>
    <tabColor rgb="FFE26B0A"/>
  </sheetPr>
  <dimension ref="A1:X40"/>
  <sheetViews>
    <sheetView showGridLines="0" zoomScale="90" workbookViewId="0">
      <pane xSplit="8" ySplit="31" topLeftCell="I32" activePane="bottomRight" state="frozen"/>
      <selection pane="topRight" activeCell="I1" sqref="I1"/>
      <selection pane="bottomLeft" activeCell="A32" sqref="A32"/>
      <selection pane="bottomRight" activeCell="K25" sqref="K25"/>
    </sheetView>
  </sheetViews>
  <sheetFormatPr defaultColWidth="10.5703125" defaultRowHeight="15" customHeight="1"/>
  <cols>
    <col min="1" max="1" width="9.140625" style="7" hidden="1" customWidth="1"/>
    <col min="2" max="2" width="9.140625" style="4" hidden="1" customWidth="1"/>
    <col min="3" max="3" width="4" style="56" customWidth="1"/>
    <col min="4" max="4" width="6" style="4" customWidth="1"/>
    <col min="5" max="5" width="36" style="4" customWidth="1"/>
    <col min="6" max="6" width="9" style="4" customWidth="1"/>
    <col min="7" max="7" width="25.7109375" style="4" hidden="1" customWidth="1"/>
    <col min="8" max="8" width="33.7109375" style="4" hidden="1" customWidth="1"/>
    <col min="9" max="9" width="25.7109375" style="4" customWidth="1"/>
    <col min="10" max="10" width="33" style="4" customWidth="1"/>
    <col min="11" max="11" width="25.7109375" style="4" customWidth="1"/>
    <col min="12" max="12" width="33.7109375" style="4" customWidth="1"/>
    <col min="13" max="13" width="93" style="43" customWidth="1"/>
    <col min="14" max="22" width="10" style="4" customWidth="1"/>
    <col min="23" max="23" width="10" style="166" customWidth="1"/>
    <col min="24" max="24" width="10.5703125" style="4" hidden="1"/>
  </cols>
  <sheetData>
    <row r="1" spans="1:24" s="43" customFormat="1" ht="22.5" hidden="1" customHeight="1">
      <c r="G1" s="43">
        <v>4</v>
      </c>
      <c r="I1" s="43">
        <v>4</v>
      </c>
      <c r="K1" s="43">
        <v>4</v>
      </c>
      <c r="W1" s="135"/>
      <c r="X1" s="43" t="s">
        <v>14</v>
      </c>
    </row>
    <row r="2" spans="1:24" s="43" customFormat="1" ht="15" hidden="1" customHeight="1">
      <c r="W2" s="135"/>
      <c r="X2" s="43">
        <v>0</v>
      </c>
    </row>
    <row r="3" spans="1:24" ht="22.5" hidden="1" customHeight="1">
      <c r="A3" s="4"/>
      <c r="B3" s="665"/>
      <c r="C3" s="694" t="s">
        <v>123</v>
      </c>
      <c r="D3" s="103" t="str">
        <f>B3&amp;".1"</f>
        <v>.1</v>
      </c>
      <c r="E3" s="49" t="s">
        <v>939</v>
      </c>
      <c r="F3" s="169" t="s">
        <v>309</v>
      </c>
      <c r="G3" s="219"/>
      <c r="H3" s="131"/>
      <c r="I3" s="219"/>
      <c r="J3" s="131"/>
      <c r="K3" s="219"/>
      <c r="L3" s="131"/>
      <c r="M3" s="29" t="s">
        <v>940</v>
      </c>
      <c r="X3" s="4">
        <v>0</v>
      </c>
    </row>
    <row r="4" spans="1:24" ht="15" hidden="1" customHeight="1">
      <c r="A4" s="4"/>
      <c r="B4" s="665"/>
      <c r="C4" s="694"/>
      <c r="D4" s="103" t="str">
        <f>B3&amp;".2"</f>
        <v>.2</v>
      </c>
      <c r="E4" s="49" t="s">
        <v>941</v>
      </c>
      <c r="F4" s="169" t="s">
        <v>309</v>
      </c>
      <c r="G4" s="548" t="s">
        <v>22</v>
      </c>
      <c r="H4" s="131"/>
      <c r="I4" s="548" t="s">
        <v>22</v>
      </c>
      <c r="J4" s="131"/>
      <c r="K4" s="548" t="s">
        <v>22</v>
      </c>
      <c r="L4" s="131"/>
      <c r="M4" s="29" t="s">
        <v>942</v>
      </c>
      <c r="X4" s="4">
        <v>0</v>
      </c>
    </row>
    <row r="5" spans="1:24" s="43" customFormat="1" ht="15" hidden="1" customHeight="1">
      <c r="W5" s="135"/>
      <c r="X5" s="43">
        <v>0</v>
      </c>
    </row>
    <row r="6" spans="1:24" ht="22.5" hidden="1" customHeight="1">
      <c r="A6" s="4"/>
      <c r="B6" s="665"/>
      <c r="C6" s="694" t="s">
        <v>123</v>
      </c>
      <c r="D6" s="103" t="str">
        <f>B6&amp;".1"</f>
        <v>.1</v>
      </c>
      <c r="E6" s="49" t="s">
        <v>943</v>
      </c>
      <c r="F6" s="169" t="s">
        <v>309</v>
      </c>
      <c r="G6" s="219"/>
      <c r="H6" s="131"/>
      <c r="I6" s="219"/>
      <c r="J6" s="131"/>
      <c r="K6" s="219"/>
      <c r="L6" s="131"/>
      <c r="M6" s="29" t="s">
        <v>944</v>
      </c>
      <c r="X6" s="4">
        <v>0</v>
      </c>
    </row>
    <row r="7" spans="1:24" ht="15" hidden="1" customHeight="1">
      <c r="A7" s="4"/>
      <c r="B7" s="665"/>
      <c r="C7" s="694"/>
      <c r="D7" s="103" t="str">
        <f>B6&amp;".2"</f>
        <v>.2</v>
      </c>
      <c r="E7" s="49" t="s">
        <v>941</v>
      </c>
      <c r="F7" s="169" t="s">
        <v>309</v>
      </c>
      <c r="G7" s="548" t="s">
        <v>22</v>
      </c>
      <c r="H7" s="131"/>
      <c r="I7" s="548" t="s">
        <v>22</v>
      </c>
      <c r="J7" s="131"/>
      <c r="K7" s="548" t="s">
        <v>22</v>
      </c>
      <c r="L7" s="131"/>
      <c r="M7" s="29" t="s">
        <v>942</v>
      </c>
      <c r="X7" s="4">
        <v>0</v>
      </c>
    </row>
    <row r="8" spans="1:24" s="43" customFormat="1" ht="15" hidden="1" customHeight="1">
      <c r="W8" s="135"/>
      <c r="X8" s="43">
        <v>0</v>
      </c>
    </row>
    <row r="9" spans="1:24" ht="22.5" hidden="1" customHeight="1">
      <c r="A9" s="4"/>
      <c r="B9" s="665"/>
      <c r="C9" s="694" t="s">
        <v>123</v>
      </c>
      <c r="D9" s="103" t="str">
        <f>B9&amp;".1"</f>
        <v>.1</v>
      </c>
      <c r="E9" s="49" t="s">
        <v>945</v>
      </c>
      <c r="F9" s="169" t="s">
        <v>309</v>
      </c>
      <c r="G9" s="225" t="s">
        <v>22</v>
      </c>
      <c r="H9" s="131" t="s">
        <v>22</v>
      </c>
      <c r="I9" s="225" t="s">
        <v>22</v>
      </c>
      <c r="J9" s="131" t="s">
        <v>22</v>
      </c>
      <c r="K9" s="225" t="s">
        <v>22</v>
      </c>
      <c r="L9" s="131" t="s">
        <v>22</v>
      </c>
      <c r="M9" s="29"/>
      <c r="X9" s="4">
        <v>0</v>
      </c>
    </row>
    <row r="10" spans="1:24" ht="15" hidden="1" customHeight="1">
      <c r="A10" s="4"/>
      <c r="B10" s="665"/>
      <c r="C10" s="694"/>
      <c r="D10" s="103" t="str">
        <f>B9&amp;".2"</f>
        <v>.2</v>
      </c>
      <c r="E10" s="49" t="s">
        <v>946</v>
      </c>
      <c r="F10" s="169" t="s">
        <v>309</v>
      </c>
      <c r="G10" s="544" t="s">
        <v>22</v>
      </c>
      <c r="H10" s="131" t="s">
        <v>22</v>
      </c>
      <c r="I10" s="544" t="s">
        <v>22</v>
      </c>
      <c r="J10" s="131" t="s">
        <v>22</v>
      </c>
      <c r="K10" s="544" t="s">
        <v>22</v>
      </c>
      <c r="L10" s="131" t="s">
        <v>22</v>
      </c>
      <c r="M10" s="29" t="s">
        <v>947</v>
      </c>
      <c r="X10" s="4">
        <v>0</v>
      </c>
    </row>
    <row r="11" spans="1:24" ht="15" hidden="1" customHeight="1">
      <c r="A11" s="4"/>
      <c r="B11" s="665"/>
      <c r="C11" s="694"/>
      <c r="D11" s="103" t="str">
        <f>B9&amp;".3"</f>
        <v>.3</v>
      </c>
      <c r="E11" s="49" t="s">
        <v>948</v>
      </c>
      <c r="F11" s="169" t="s">
        <v>309</v>
      </c>
      <c r="G11" s="544" t="s">
        <v>22</v>
      </c>
      <c r="H11" s="131" t="s">
        <v>22</v>
      </c>
      <c r="I11" s="544" t="s">
        <v>22</v>
      </c>
      <c r="J11" s="131" t="s">
        <v>22</v>
      </c>
      <c r="K11" s="544" t="s">
        <v>22</v>
      </c>
      <c r="L11" s="131" t="s">
        <v>22</v>
      </c>
      <c r="M11" s="29" t="s">
        <v>949</v>
      </c>
      <c r="X11" s="4">
        <v>0</v>
      </c>
    </row>
    <row r="12" spans="1:24" s="43" customFormat="1" ht="15" hidden="1" customHeight="1">
      <c r="W12" s="135"/>
      <c r="X12" s="43">
        <v>0</v>
      </c>
    </row>
    <row r="13" spans="1:24" ht="33.75" hidden="1" customHeight="1">
      <c r="A13" s="4"/>
      <c r="B13" s="665"/>
      <c r="C13" s="694" t="s">
        <v>123</v>
      </c>
      <c r="D13" s="103" t="str">
        <f>B13&amp;".1"</f>
        <v>.1</v>
      </c>
      <c r="E13" s="49" t="s">
        <v>950</v>
      </c>
      <c r="F13" s="169" t="s">
        <v>309</v>
      </c>
      <c r="G13" s="225" t="s">
        <v>22</v>
      </c>
      <c r="H13" s="131" t="s">
        <v>22</v>
      </c>
      <c r="I13" s="225" t="s">
        <v>22</v>
      </c>
      <c r="J13" s="131" t="s">
        <v>22</v>
      </c>
      <c r="K13" s="225" t="s">
        <v>22</v>
      </c>
      <c r="L13" s="131" t="s">
        <v>22</v>
      </c>
      <c r="M13" s="29" t="s">
        <v>951</v>
      </c>
      <c r="X13" s="4">
        <v>0</v>
      </c>
    </row>
    <row r="14" spans="1:24" ht="15" hidden="1" customHeight="1">
      <c r="B14" s="665"/>
      <c r="C14" s="694"/>
      <c r="D14" s="103" t="str">
        <f>B13&amp;".2"</f>
        <v>.2</v>
      </c>
      <c r="E14" s="49" t="s">
        <v>952</v>
      </c>
      <c r="F14" s="169" t="s">
        <v>309</v>
      </c>
      <c r="G14" s="544" t="s">
        <v>22</v>
      </c>
      <c r="H14" s="131" t="s">
        <v>22</v>
      </c>
      <c r="I14" s="544" t="s">
        <v>22</v>
      </c>
      <c r="J14" s="131" t="s">
        <v>22</v>
      </c>
      <c r="K14" s="544" t="s">
        <v>22</v>
      </c>
      <c r="L14" s="131" t="s">
        <v>22</v>
      </c>
      <c r="M14" s="29" t="s">
        <v>953</v>
      </c>
      <c r="X14" s="4">
        <v>0</v>
      </c>
    </row>
    <row r="15" spans="1:24" s="43" customFormat="1" ht="15" hidden="1" customHeight="1">
      <c r="W15" s="135"/>
      <c r="X15" s="43">
        <v>0</v>
      </c>
    </row>
    <row r="16" spans="1:24" s="43" customFormat="1" ht="15" hidden="1" customHeight="1">
      <c r="W16" s="135"/>
      <c r="X16" s="43">
        <v>0</v>
      </c>
    </row>
    <row r="17" spans="1:24" s="43" customFormat="1" ht="15" hidden="1" customHeight="1">
      <c r="W17" s="135"/>
      <c r="X17" s="43">
        <v>0</v>
      </c>
    </row>
    <row r="18" spans="1:24" s="43" customFormat="1" ht="15" hidden="1" customHeight="1">
      <c r="W18" s="135"/>
      <c r="X18" s="43">
        <v>0</v>
      </c>
    </row>
    <row r="19" spans="1:24" s="43" customFormat="1" ht="15" hidden="1" customHeight="1">
      <c r="W19" s="135"/>
      <c r="X19" s="43">
        <v>0</v>
      </c>
    </row>
    <row r="20" spans="1:24" s="43" customFormat="1" ht="15" hidden="1" customHeight="1">
      <c r="W20" s="135"/>
      <c r="X20" s="43">
        <v>0</v>
      </c>
    </row>
    <row r="21" spans="1:24" ht="15.75" customHeight="1">
      <c r="X21" s="4">
        <v>15</v>
      </c>
    </row>
    <row r="22" spans="1:24" ht="23.25" customHeight="1">
      <c r="D22" s="697"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22" s="697"/>
      <c r="F22" s="697"/>
      <c r="G22" s="697"/>
      <c r="H22" s="697"/>
      <c r="I22" s="697"/>
      <c r="K22" s="128"/>
      <c r="L22" s="128"/>
      <c r="X22" s="4">
        <v>22</v>
      </c>
    </row>
    <row r="23" spans="1:24" ht="15.75" customHeight="1">
      <c r="D23" s="712" t="str">
        <f>IF(org=0,"Не определено",org)</f>
        <v>ООО "Восточная Тепловая компания"</v>
      </c>
      <c r="E23" s="712"/>
      <c r="F23" s="712"/>
      <c r="G23" s="712"/>
      <c r="H23" s="712"/>
      <c r="I23" s="712"/>
      <c r="K23" s="358"/>
      <c r="L23" s="358"/>
      <c r="X23" s="4">
        <v>15</v>
      </c>
    </row>
    <row r="24" spans="1:24" ht="15.75" customHeight="1">
      <c r="G24" s="43">
        <v>22</v>
      </c>
      <c r="H24" s="247"/>
      <c r="I24" s="43">
        <v>22</v>
      </c>
      <c r="J24" s="247"/>
      <c r="K24" s="43" t="s">
        <v>22</v>
      </c>
      <c r="L24" s="247"/>
      <c r="X24" s="4">
        <v>15</v>
      </c>
    </row>
    <row r="25" spans="1:24" s="4" customFormat="1" ht="1.1499999999999999" customHeight="1">
      <c r="A25" s="7"/>
      <c r="C25" s="56"/>
      <c r="G25" s="43"/>
      <c r="H25" s="247"/>
      <c r="I25" s="43" t="s">
        <v>118</v>
      </c>
      <c r="J25" s="247"/>
      <c r="K25" s="43" t="s">
        <v>124</v>
      </c>
      <c r="L25" s="247"/>
      <c r="M25" s="43"/>
      <c r="W25" s="166"/>
      <c r="X25" s="4">
        <v>1</v>
      </c>
    </row>
    <row r="26" spans="1:24" ht="15.75" customHeight="1">
      <c r="D26" s="217"/>
      <c r="E26" s="666" t="s">
        <v>106</v>
      </c>
      <c r="F26" s="661"/>
      <c r="G26" s="742" t="str">
        <f>IF(G25="","",INDEX(DIFFERENTIATION_UNMERGE_VD,MATCH(G25,DIFFERENTIATION_ID_DIFF,0)))</f>
        <v/>
      </c>
      <c r="H26" s="744"/>
      <c r="I26" s="742" t="str">
        <f>IF(I25="","",INDEX(DIFFERENTIATION_UNMERGE_VD,MATCH(I25,DIFFERENTIATION_ID_DIFF,0)))</f>
        <v>Производство тепловой энергии. Некомбинированная выработка; Передача. Тепловая энергия; Сбыт. Тепловая энергия</v>
      </c>
      <c r="J26" s="744"/>
      <c r="K26" s="742" t="str">
        <f>IF(K25="","",INDEX(DIFFERENTIATION_UNMERGE_VD,MATCH(K25,DIFFERENTIATION_ID_DIFF,0)))</f>
        <v>Производство. Теплоноситель; Передача. Теплоноситель; Сбыт. Теплоноситель</v>
      </c>
      <c r="L26" s="744"/>
      <c r="M26" s="673" t="s">
        <v>304</v>
      </c>
      <c r="X26" s="4">
        <v>15</v>
      </c>
    </row>
    <row r="27" spans="1:24" s="4" customFormat="1" ht="15.75" customHeight="1">
      <c r="A27" s="7"/>
      <c r="C27" s="56"/>
      <c r="D27" s="217"/>
      <c r="E27" s="666" t="s">
        <v>567</v>
      </c>
      <c r="F27" s="661"/>
      <c r="G27" s="742" t="str">
        <f>IF(G25="","",INDEX(DIFFERENTIATION_UNMERGE_AREA,MATCH(G25,DIFFERENTIATION_ID_DIFF,0)))</f>
        <v/>
      </c>
      <c r="H27" s="744"/>
      <c r="I27" s="742" t="str">
        <f>IF(I25="","",INDEX(DIFFERENTIATION_UNMERGE_AREA,MATCH(I25,DIFFERENTIATION_ID_DIFF,0)))</f>
        <v>Территория 1</v>
      </c>
      <c r="J27" s="744"/>
      <c r="K27" s="742" t="str">
        <f>IF(K25="","",INDEX(DIFFERENTIATION_UNMERGE_AREA,MATCH(K25,DIFFERENTIATION_ID_DIFF,0)))</f>
        <v/>
      </c>
      <c r="L27" s="744"/>
      <c r="M27" s="714"/>
      <c r="W27" s="166"/>
      <c r="X27" s="4">
        <v>15</v>
      </c>
    </row>
    <row r="28" spans="1:24" s="4" customFormat="1" ht="15.75" customHeight="1">
      <c r="A28" s="7"/>
      <c r="C28" s="56"/>
      <c r="D28" s="217"/>
      <c r="E28" s="666" t="s">
        <v>568</v>
      </c>
      <c r="F28" s="661"/>
      <c r="G28" s="742" t="str">
        <f>IF(G25="","",INDEX(DIFFERENTIATION_UNMERGE_SYSTEM,MATCH(G25,DIFFERENTIATION_ID_DIFF,0)))</f>
        <v/>
      </c>
      <c r="H28" s="744"/>
      <c r="I28" s="742" t="str">
        <f>IF(I25="","",INDEX(DIFFERENTIATION_UNMERGE_SYSTEM,MATCH(I25,DIFFERENTIATION_ID_DIFF,0)))</f>
        <v>д. Кисловка</v>
      </c>
      <c r="J28" s="744"/>
      <c r="K28" s="742" t="str">
        <f>IF(K25="","",INDEX(DIFFERENTIATION_UNMERGE_SYSTEM,MATCH(K25,DIFFERENTIATION_ID_DIFF,0)))</f>
        <v>д. Кисловка</v>
      </c>
      <c r="L28" s="744"/>
      <c r="M28" s="714"/>
      <c r="W28" s="166"/>
      <c r="X28" s="4">
        <v>15</v>
      </c>
    </row>
    <row r="29" spans="1:24" s="4" customFormat="1" ht="15.75" customHeight="1">
      <c r="A29" s="7"/>
      <c r="C29" s="56"/>
      <c r="D29" s="662" t="s">
        <v>303</v>
      </c>
      <c r="E29" s="666"/>
      <c r="F29" s="666"/>
      <c r="G29" s="223"/>
      <c r="H29" s="223"/>
      <c r="I29" s="223"/>
      <c r="J29" s="169"/>
      <c r="K29" s="223"/>
      <c r="L29" s="223"/>
      <c r="M29" s="714"/>
      <c r="W29" s="166"/>
      <c r="X29" s="4">
        <v>15</v>
      </c>
    </row>
    <row r="30" spans="1:24" ht="35.65" customHeight="1">
      <c r="D30" s="29" t="s">
        <v>88</v>
      </c>
      <c r="E30" s="29" t="s">
        <v>305</v>
      </c>
      <c r="F30" s="29" t="s">
        <v>569</v>
      </c>
      <c r="G30" s="217" t="s">
        <v>306</v>
      </c>
      <c r="H30" s="29" t="s">
        <v>393</v>
      </c>
      <c r="I30" s="217" t="s">
        <v>306</v>
      </c>
      <c r="J30" s="29" t="s">
        <v>393</v>
      </c>
      <c r="K30" s="217" t="s">
        <v>306</v>
      </c>
      <c r="L30" s="29" t="s">
        <v>393</v>
      </c>
      <c r="M30" s="675"/>
      <c r="X30" s="4">
        <v>34</v>
      </c>
    </row>
    <row r="31" spans="1:24" ht="15" hidden="1" customHeight="1">
      <c r="D31" s="192"/>
      <c r="E31" s="192"/>
      <c r="F31" s="192"/>
      <c r="G31" s="56"/>
      <c r="H31" s="56"/>
      <c r="I31" s="56"/>
      <c r="J31" s="56"/>
      <c r="K31" s="56"/>
      <c r="L31" s="56"/>
      <c r="M31" s="29"/>
      <c r="X31" s="4">
        <v>0</v>
      </c>
    </row>
    <row r="32" spans="1:24" ht="24" customHeight="1">
      <c r="A32" s="4"/>
      <c r="B32" s="4" t="s">
        <v>954</v>
      </c>
      <c r="C32" s="16"/>
      <c r="D32" s="221">
        <v>1</v>
      </c>
      <c r="E32" s="49" t="s">
        <v>955</v>
      </c>
      <c r="F32" s="169" t="s">
        <v>309</v>
      </c>
      <c r="G32" s="169" t="s">
        <v>309</v>
      </c>
      <c r="H32" s="169" t="s">
        <v>309</v>
      </c>
      <c r="I32" s="169" t="s">
        <v>309</v>
      </c>
      <c r="J32" s="169" t="s">
        <v>309</v>
      </c>
      <c r="K32" s="169" t="s">
        <v>309</v>
      </c>
      <c r="L32" s="169" t="s">
        <v>309</v>
      </c>
      <c r="M32" s="29"/>
      <c r="X32" s="4">
        <v>23</v>
      </c>
    </row>
    <row r="33" spans="1:24" ht="11.45" customHeight="1">
      <c r="A33" s="4"/>
      <c r="C33" s="4"/>
      <c r="D33" s="28"/>
      <c r="E33" s="37" t="s">
        <v>589</v>
      </c>
      <c r="F33" s="185"/>
      <c r="G33" s="185"/>
      <c r="H33" s="185"/>
      <c r="I33" s="185"/>
      <c r="J33" s="185"/>
      <c r="K33" s="185"/>
      <c r="L33" s="185"/>
      <c r="M33" s="186"/>
      <c r="W33" s="4"/>
      <c r="X33" s="4">
        <v>11</v>
      </c>
    </row>
    <row r="34" spans="1:24" ht="24" customHeight="1">
      <c r="A34" s="4"/>
      <c r="B34" s="4" t="s">
        <v>640</v>
      </c>
      <c r="C34" s="16"/>
      <c r="D34" s="221">
        <v>2</v>
      </c>
      <c r="E34" s="49" t="s">
        <v>956</v>
      </c>
      <c r="F34" s="169" t="s">
        <v>309</v>
      </c>
      <c r="G34" s="169" t="s">
        <v>309</v>
      </c>
      <c r="H34" s="169" t="s">
        <v>309</v>
      </c>
      <c r="I34" s="169"/>
      <c r="J34" s="169"/>
      <c r="K34" s="169" t="s">
        <v>309</v>
      </c>
      <c r="L34" s="169" t="s">
        <v>309</v>
      </c>
      <c r="M34" s="29"/>
      <c r="X34" s="4">
        <v>23</v>
      </c>
    </row>
    <row r="35" spans="1:24" ht="11.45" customHeight="1">
      <c r="A35" s="4"/>
      <c r="C35" s="4"/>
      <c r="D35" s="28"/>
      <c r="E35" s="37" t="s">
        <v>957</v>
      </c>
      <c r="F35" s="185"/>
      <c r="G35" s="222"/>
      <c r="H35" s="185"/>
      <c r="I35" s="222"/>
      <c r="J35" s="185"/>
      <c r="K35" s="222"/>
      <c r="L35" s="185"/>
      <c r="M35" s="186"/>
      <c r="W35" s="4"/>
      <c r="X35" s="4">
        <v>11</v>
      </c>
    </row>
    <row r="36" spans="1:24" ht="71.25" customHeight="1">
      <c r="A36" s="4"/>
      <c r="B36" s="4" t="s">
        <v>958</v>
      </c>
      <c r="C36" s="16"/>
      <c r="D36" s="221">
        <v>3</v>
      </c>
      <c r="E36" s="49" t="s">
        <v>959</v>
      </c>
      <c r="F36" s="223" t="s">
        <v>309</v>
      </c>
      <c r="G36" s="69" t="s">
        <v>960</v>
      </c>
      <c r="H36" s="169" t="s">
        <v>309</v>
      </c>
      <c r="I36" s="69" t="s">
        <v>960</v>
      </c>
      <c r="J36" s="169" t="s">
        <v>309</v>
      </c>
      <c r="K36" s="69" t="s">
        <v>960</v>
      </c>
      <c r="L36" s="169" t="s">
        <v>309</v>
      </c>
      <c r="M36" s="29" t="s">
        <v>961</v>
      </c>
      <c r="X36" s="4">
        <v>68</v>
      </c>
    </row>
    <row r="37" spans="1:24" ht="11.45" customHeight="1">
      <c r="A37" s="4"/>
      <c r="C37" s="4"/>
      <c r="D37" s="28"/>
      <c r="E37" s="37" t="s">
        <v>962</v>
      </c>
      <c r="F37" s="185"/>
      <c r="G37" s="222"/>
      <c r="H37" s="222"/>
      <c r="I37" s="222"/>
      <c r="J37" s="222"/>
      <c r="K37" s="222"/>
      <c r="L37" s="222"/>
      <c r="M37" s="186"/>
      <c r="W37" s="4"/>
      <c r="X37" s="4">
        <v>11</v>
      </c>
    </row>
    <row r="38" spans="1:24" ht="71.25" customHeight="1">
      <c r="A38" s="4"/>
      <c r="B38" s="4" t="s">
        <v>963</v>
      </c>
      <c r="C38" s="16"/>
      <c r="D38" s="221">
        <v>4</v>
      </c>
      <c r="E38" s="49" t="s">
        <v>964</v>
      </c>
      <c r="F38" s="223" t="s">
        <v>309</v>
      </c>
      <c r="G38" s="69" t="s">
        <v>960</v>
      </c>
      <c r="H38" s="29" t="s">
        <v>309</v>
      </c>
      <c r="I38" s="69" t="s">
        <v>960</v>
      </c>
      <c r="J38" s="29" t="s">
        <v>309</v>
      </c>
      <c r="K38" s="69" t="s">
        <v>960</v>
      </c>
      <c r="L38" s="29" t="s">
        <v>309</v>
      </c>
      <c r="M38" s="169" t="s">
        <v>965</v>
      </c>
      <c r="X38" s="4">
        <v>68</v>
      </c>
    </row>
    <row r="39" spans="1:24" ht="11.45" customHeight="1">
      <c r="A39" s="4"/>
      <c r="C39" s="4"/>
      <c r="D39" s="28"/>
      <c r="E39" s="37" t="s">
        <v>966</v>
      </c>
      <c r="F39" s="185"/>
      <c r="G39" s="185"/>
      <c r="H39" s="224"/>
      <c r="I39" s="185"/>
      <c r="J39" s="224"/>
      <c r="K39" s="185"/>
      <c r="L39" s="224"/>
      <c r="M39" s="186"/>
      <c r="W39" s="4"/>
      <c r="X39" s="4">
        <v>11</v>
      </c>
    </row>
    <row r="40" spans="1:24" ht="22.5" hidden="1" customHeight="1">
      <c r="A40" s="7" t="s">
        <v>82</v>
      </c>
      <c r="B40" s="4">
        <v>0</v>
      </c>
      <c r="C40" s="56">
        <v>4</v>
      </c>
      <c r="D40" s="4">
        <v>6</v>
      </c>
      <c r="E40" s="4">
        <v>36</v>
      </c>
      <c r="F40" s="4">
        <v>9</v>
      </c>
      <c r="G40" s="4">
        <v>0</v>
      </c>
      <c r="H40" s="4">
        <v>0</v>
      </c>
      <c r="I40" s="4">
        <v>25</v>
      </c>
      <c r="J40" s="4">
        <v>33</v>
      </c>
      <c r="K40" s="4">
        <v>0</v>
      </c>
      <c r="L40" s="4">
        <v>0</v>
      </c>
      <c r="M40" s="43">
        <v>93</v>
      </c>
      <c r="N40" s="4">
        <v>10</v>
      </c>
      <c r="O40" s="4">
        <v>10</v>
      </c>
      <c r="P40" s="4">
        <v>10</v>
      </c>
      <c r="Q40" s="4">
        <v>10</v>
      </c>
      <c r="R40" s="4">
        <v>10</v>
      </c>
      <c r="S40" s="4">
        <v>10</v>
      </c>
      <c r="T40" s="4">
        <v>10</v>
      </c>
      <c r="U40" s="4">
        <v>10</v>
      </c>
      <c r="V40" s="4">
        <v>10</v>
      </c>
      <c r="W40" s="166">
        <v>10</v>
      </c>
      <c r="X40" s="4">
        <v>23</v>
      </c>
    </row>
  </sheetData>
  <sheetProtection formatColumns="0" formatRows="0" insertRows="0" deleteColumns="0" deleteRows="0" sort="0" autoFilter="0"/>
  <mergeCells count="24">
    <mergeCell ref="G28:H28"/>
    <mergeCell ref="M26:M30"/>
    <mergeCell ref="E27:F27"/>
    <mergeCell ref="E28:F28"/>
    <mergeCell ref="I27:J27"/>
    <mergeCell ref="I28:J28"/>
    <mergeCell ref="G26:H26"/>
    <mergeCell ref="G27:H27"/>
    <mergeCell ref="D29:F29"/>
    <mergeCell ref="K28:L28"/>
    <mergeCell ref="K26:L26"/>
    <mergeCell ref="K27:L27"/>
    <mergeCell ref="B13:B14"/>
    <mergeCell ref="C13:C14"/>
    <mergeCell ref="D22:I22"/>
    <mergeCell ref="D23:I23"/>
    <mergeCell ref="I26:J26"/>
    <mergeCell ref="E26:F26"/>
    <mergeCell ref="B3:B4"/>
    <mergeCell ref="C3:C4"/>
    <mergeCell ref="B6:B7"/>
    <mergeCell ref="C6:C7"/>
    <mergeCell ref="B9:B11"/>
    <mergeCell ref="C9:C11"/>
  </mergeCells>
  <dataValidations count="5">
    <dataValidation allowBlank="1" showInputMessage="1" showErrorMessage="1" prompt="Для выбора выполните двойной щелчок левой клавиши мыши по ячейке." sqref="I36 G38 I38 G36 K36 K38" xr:uid="{00000000-0002-0000-2700-000000000000}"/>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H4 J3:J4 L3:L4 H6:H7 J6:J7 L6:L7 J9:J11 L9:L11 H9:H11 J13:J14 L13:L14 H13:H14" xr:uid="{00000000-0002-0000-2700-00000100000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K4 K7 K10 K11 K14" xr:uid="{00000000-0002-0000-2700-000002000000}"/>
    <dataValidation type="textLength" operator="lessThanOrEqual" allowBlank="1" showInputMessage="1" showErrorMessage="1" errorTitle="Ошибка" error="Допускается ввод не более 900 символов!" sqref="I3 I6 I9 I13 G6 G13 G9 G3 K3 K6 K9 K13" xr:uid="{00000000-0002-0000-2700-000003000000}">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xr:uid="{00000000-0002-0000-2700-00000400000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DC33F4-C177-2D7D-EDE7-A1E992C1B617}">
  <sheetPr>
    <tabColor theme="9" tint="-0.249977111117893"/>
  </sheetPr>
  <dimension ref="A1:AE16"/>
  <sheetViews>
    <sheetView showGridLines="0" zoomScale="85" workbookViewId="0">
      <pane xSplit="7" ySplit="10" topLeftCell="H11" activePane="bottomRight" state="frozen"/>
      <selection pane="topRight" activeCell="H1" sqref="H1"/>
      <selection pane="bottomLeft" activeCell="A11" sqref="A11"/>
      <selection pane="bottomRight"/>
    </sheetView>
  </sheetViews>
  <sheetFormatPr defaultColWidth="9.140625" defaultRowHeight="10.5" customHeight="1"/>
  <cols>
    <col min="1" max="3" width="6.7109375" style="167" hidden="1" customWidth="1"/>
    <col min="4" max="4" width="6.7109375" style="43" hidden="1" customWidth="1"/>
    <col min="5" max="5" width="3" style="4" customWidth="1"/>
    <col min="6" max="6" width="6" style="4" customWidth="1"/>
    <col min="7" max="7" width="37" style="4" customWidth="1"/>
    <col min="8" max="8" width="16" style="4" customWidth="1"/>
    <col min="9" max="10" width="19" style="4" customWidth="1"/>
    <col min="11" max="11" width="24" style="4" customWidth="1"/>
    <col min="12" max="13" width="25" style="4" customWidth="1"/>
    <col min="14" max="16" width="17" style="4" customWidth="1"/>
    <col min="17" max="24" width="19" style="4" customWidth="1"/>
    <col min="25" max="25" width="7" style="4" customWidth="1"/>
    <col min="26" max="26" width="3" style="4" customWidth="1"/>
    <col min="27" max="27" width="6" style="4" customWidth="1"/>
    <col min="28" max="28" width="34" style="4" customWidth="1"/>
    <col min="29" max="30" width="8" style="4" customWidth="1"/>
    <col min="31" max="31" width="9.140625" style="4" hidden="1"/>
  </cols>
  <sheetData>
    <row r="1" spans="1:31" s="43" customFormat="1" ht="10.5" hidden="1" customHeight="1">
      <c r="A1" s="167"/>
      <c r="B1" s="167"/>
      <c r="C1" s="167"/>
      <c r="AE1" s="43" t="s">
        <v>14</v>
      </c>
    </row>
    <row r="2" spans="1:31" ht="10.5" hidden="1" customHeight="1">
      <c r="AE2" s="4">
        <v>0</v>
      </c>
    </row>
    <row r="3" spans="1:31" s="7" customFormat="1" ht="10.5" hidden="1" customHeight="1">
      <c r="A3" s="167"/>
      <c r="B3" s="167"/>
      <c r="C3" s="167"/>
      <c r="D3" s="43"/>
      <c r="G3" s="7" t="s">
        <v>967</v>
      </c>
      <c r="AE3" s="7">
        <v>0</v>
      </c>
    </row>
    <row r="4" spans="1:31" ht="3" customHeight="1">
      <c r="AE4" s="4">
        <v>3</v>
      </c>
    </row>
    <row r="5" spans="1:31" ht="27.4" customHeight="1">
      <c r="F5" s="697"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697"/>
      <c r="H5" s="697"/>
      <c r="I5" s="697"/>
      <c r="J5" s="697"/>
      <c r="K5" s="697"/>
      <c r="AE5" s="4">
        <v>26</v>
      </c>
    </row>
    <row r="6" spans="1:31" s="4" customFormat="1" ht="16.899999999999999" customHeight="1">
      <c r="A6" s="167"/>
      <c r="B6" s="167"/>
      <c r="C6" s="167"/>
      <c r="D6" s="43"/>
      <c r="F6" s="712" t="str">
        <f>IF(org=0,"Не определено",org)</f>
        <v>ООО "Восточная Тепловая компания"</v>
      </c>
      <c r="G6" s="712"/>
      <c r="H6" s="712"/>
      <c r="I6" s="712"/>
      <c r="J6" s="712"/>
      <c r="K6" s="712"/>
      <c r="AE6" s="4">
        <v>16</v>
      </c>
    </row>
    <row r="7" spans="1:31" ht="10.5" customHeight="1">
      <c r="AE7" s="4">
        <v>10</v>
      </c>
    </row>
    <row r="8" spans="1:31" ht="10.5" customHeight="1">
      <c r="F8" s="662" t="s">
        <v>303</v>
      </c>
      <c r="G8" s="666"/>
      <c r="H8" s="666"/>
      <c r="I8" s="666"/>
      <c r="J8" s="666"/>
      <c r="K8" s="666"/>
      <c r="L8" s="666"/>
      <c r="M8" s="666"/>
      <c r="N8" s="666"/>
      <c r="O8" s="666"/>
      <c r="P8" s="666"/>
      <c r="Q8" s="666"/>
      <c r="R8" s="666"/>
      <c r="S8" s="666"/>
      <c r="T8" s="666"/>
      <c r="U8" s="666"/>
      <c r="V8" s="666"/>
      <c r="W8" s="666"/>
      <c r="X8" s="666"/>
      <c r="Y8" s="666"/>
      <c r="Z8" s="666"/>
      <c r="AA8" s="666"/>
      <c r="AB8" s="661"/>
      <c r="AE8" s="4">
        <v>10</v>
      </c>
    </row>
    <row r="9" spans="1:31" ht="43.15" customHeight="1">
      <c r="A9" s="304"/>
      <c r="B9" s="304"/>
      <c r="C9" s="304"/>
      <c r="F9" s="679" t="s">
        <v>88</v>
      </c>
      <c r="G9" s="679" t="s">
        <v>967</v>
      </c>
      <c r="H9" s="673" t="s">
        <v>968</v>
      </c>
      <c r="I9" s="679" t="s">
        <v>969</v>
      </c>
      <c r="J9" s="679" t="s">
        <v>970</v>
      </c>
      <c r="K9" s="679" t="s">
        <v>971</v>
      </c>
      <c r="L9" s="679" t="s">
        <v>972</v>
      </c>
      <c r="M9" s="679" t="s">
        <v>973</v>
      </c>
      <c r="N9" s="722" t="s">
        <v>974</v>
      </c>
      <c r="O9" s="722"/>
      <c r="P9" s="722"/>
      <c r="Q9" s="756" t="s">
        <v>975</v>
      </c>
      <c r="R9" s="757"/>
      <c r="S9" s="757"/>
      <c r="T9" s="758"/>
      <c r="U9" s="756" t="s">
        <v>976</v>
      </c>
      <c r="V9" s="757"/>
      <c r="W9" s="757"/>
      <c r="X9" s="758"/>
      <c r="Y9" s="662" t="s">
        <v>977</v>
      </c>
      <c r="Z9" s="666"/>
      <c r="AA9" s="666"/>
      <c r="AB9" s="661"/>
      <c r="AE9" s="4">
        <v>41</v>
      </c>
    </row>
    <row r="10" spans="1:31" ht="43.15" customHeight="1">
      <c r="A10" s="304"/>
      <c r="B10" s="304"/>
      <c r="C10" s="304"/>
      <c r="F10" s="673"/>
      <c r="G10" s="673"/>
      <c r="H10" s="676"/>
      <c r="I10" s="673"/>
      <c r="J10" s="673"/>
      <c r="K10" s="673"/>
      <c r="L10" s="673"/>
      <c r="M10" s="673"/>
      <c r="N10" s="138" t="s">
        <v>978</v>
      </c>
      <c r="O10" s="138" t="s">
        <v>979</v>
      </c>
      <c r="P10" s="45" t="s">
        <v>980</v>
      </c>
      <c r="Q10" s="138" t="s">
        <v>89</v>
      </c>
      <c r="R10" s="138" t="s">
        <v>981</v>
      </c>
      <c r="S10" s="138" t="s">
        <v>982</v>
      </c>
      <c r="T10" s="306" t="s">
        <v>983</v>
      </c>
      <c r="U10" s="138" t="s">
        <v>89</v>
      </c>
      <c r="V10" s="138" t="s">
        <v>984</v>
      </c>
      <c r="W10" s="138" t="s">
        <v>982</v>
      </c>
      <c r="X10" s="306" t="s">
        <v>983</v>
      </c>
      <c r="Y10" s="100" t="s">
        <v>985</v>
      </c>
      <c r="Z10" s="662" t="s">
        <v>88</v>
      </c>
      <c r="AA10" s="661"/>
      <c r="AB10" s="29" t="s">
        <v>986</v>
      </c>
      <c r="AE10" s="4">
        <v>41</v>
      </c>
    </row>
    <row r="11" spans="1:31" s="46" customFormat="1" ht="5.25" hidden="1" customHeight="1">
      <c r="A11" s="160"/>
      <c r="B11" s="160"/>
      <c r="C11" s="160"/>
      <c r="F11" s="775" t="s">
        <v>379</v>
      </c>
      <c r="G11" s="698"/>
      <c r="H11" s="698"/>
      <c r="I11" s="698"/>
      <c r="J11" s="698"/>
      <c r="K11" s="679"/>
      <c r="L11" s="679"/>
      <c r="M11" s="679"/>
      <c r="N11" s="698"/>
      <c r="O11" s="698"/>
      <c r="P11" s="679"/>
      <c r="Q11" s="679"/>
      <c r="R11" s="679"/>
      <c r="S11" s="679"/>
      <c r="T11" s="698"/>
      <c r="U11" s="679"/>
      <c r="V11" s="679"/>
      <c r="W11" s="679"/>
      <c r="X11" s="698"/>
      <c r="Y11" s="679"/>
      <c r="Z11" s="679"/>
      <c r="AA11" s="679"/>
      <c r="AB11" s="679"/>
      <c r="AD11" s="46" t="s">
        <v>987</v>
      </c>
      <c r="AE11" s="46">
        <v>0</v>
      </c>
    </row>
    <row r="12" spans="1:31" s="46" customFormat="1" ht="5.25" hidden="1" customHeight="1">
      <c r="A12" s="160"/>
      <c r="B12" s="160"/>
      <c r="C12" s="160"/>
      <c r="F12" s="775"/>
      <c r="G12" s="698"/>
      <c r="H12" s="698"/>
      <c r="I12" s="698"/>
      <c r="J12" s="698"/>
      <c r="K12" s="679"/>
      <c r="L12" s="679"/>
      <c r="M12" s="679"/>
      <c r="N12" s="698"/>
      <c r="O12" s="698"/>
      <c r="P12" s="679"/>
      <c r="Q12" s="679"/>
      <c r="R12" s="679"/>
      <c r="S12" s="679"/>
      <c r="T12" s="698"/>
      <c r="U12" s="679"/>
      <c r="V12" s="679"/>
      <c r="W12" s="679"/>
      <c r="X12" s="698"/>
      <c r="Y12" s="662"/>
      <c r="Z12" s="662"/>
      <c r="AA12" s="662"/>
      <c r="AB12" s="662"/>
      <c r="AE12" s="46">
        <v>0</v>
      </c>
    </row>
    <row r="13" spans="1:31" ht="10.5" customHeight="1">
      <c r="F13" s="98"/>
      <c r="G13" s="37" t="s">
        <v>988</v>
      </c>
      <c r="H13" s="37"/>
      <c r="I13" s="185"/>
      <c r="J13" s="185"/>
      <c r="K13" s="185"/>
      <c r="L13" s="185"/>
      <c r="M13" s="185"/>
      <c r="N13" s="185"/>
      <c r="O13" s="185"/>
      <c r="P13" s="185"/>
      <c r="Q13" s="185"/>
      <c r="R13" s="185"/>
      <c r="S13" s="185"/>
      <c r="T13" s="185"/>
      <c r="U13" s="185"/>
      <c r="V13" s="185"/>
      <c r="W13" s="185"/>
      <c r="X13" s="185"/>
      <c r="Y13" s="185"/>
      <c r="Z13" s="224"/>
      <c r="AA13" s="224"/>
      <c r="AB13" s="307"/>
      <c r="AE13" s="4">
        <v>10</v>
      </c>
    </row>
    <row r="14" spans="1:31" ht="10.5" customHeight="1">
      <c r="AE14" s="4">
        <v>10</v>
      </c>
    </row>
    <row r="15" spans="1:31" s="46" customFormat="1" ht="10.5" customHeight="1">
      <c r="A15" s="160"/>
      <c r="B15" s="160"/>
      <c r="C15" s="160"/>
      <c r="H15" s="46">
        <f>IFERROR(MATCH("нет",IP_MAIN_DIFFERENTIATION_EVENTS_FLAG,0),0)</f>
        <v>0</v>
      </c>
      <c r="AE15" s="46">
        <v>10</v>
      </c>
    </row>
    <row r="16" spans="1:31" ht="10.5" hidden="1" customHeight="1">
      <c r="A16" s="167" t="s">
        <v>82</v>
      </c>
      <c r="B16" s="167">
        <v>0</v>
      </c>
      <c r="C16" s="167">
        <v>0</v>
      </c>
      <c r="D16" s="43">
        <v>0</v>
      </c>
      <c r="E16" s="4">
        <v>3</v>
      </c>
      <c r="F16" s="4">
        <v>6</v>
      </c>
      <c r="G16" s="4">
        <v>37</v>
      </c>
      <c r="H16" s="4">
        <v>16</v>
      </c>
      <c r="I16" s="4">
        <v>19</v>
      </c>
      <c r="J16" s="4">
        <v>19</v>
      </c>
      <c r="K16" s="4">
        <v>24</v>
      </c>
      <c r="L16" s="4">
        <v>25</v>
      </c>
      <c r="M16" s="4">
        <v>25</v>
      </c>
      <c r="N16" s="4">
        <v>17</v>
      </c>
      <c r="O16" s="4">
        <v>17</v>
      </c>
      <c r="P16" s="4">
        <v>17</v>
      </c>
      <c r="Q16" s="4">
        <v>19</v>
      </c>
      <c r="R16" s="4">
        <v>19</v>
      </c>
      <c r="S16" s="4">
        <v>19</v>
      </c>
      <c r="T16" s="4">
        <v>19</v>
      </c>
      <c r="U16" s="4">
        <v>19</v>
      </c>
      <c r="V16" s="4">
        <v>19</v>
      </c>
      <c r="W16" s="4">
        <v>19</v>
      </c>
      <c r="X16" s="4">
        <v>19</v>
      </c>
      <c r="Y16" s="4">
        <v>7</v>
      </c>
      <c r="Z16" s="4">
        <v>3</v>
      </c>
      <c r="AA16" s="4">
        <v>6</v>
      </c>
      <c r="AB16" s="4">
        <v>34</v>
      </c>
      <c r="AC16" s="4">
        <v>8</v>
      </c>
      <c r="AD16" s="4">
        <v>8</v>
      </c>
      <c r="AE16" s="4">
        <v>10</v>
      </c>
    </row>
  </sheetData>
  <sheetProtection formatColumns="0" formatRows="0" insertRows="0" deleteColumns="0" deleteRows="0" sort="0" autoFilter="0"/>
  <mergeCells count="39">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 ref="J9:J10"/>
    <mergeCell ref="K11:K12"/>
    <mergeCell ref="Z11:Z12"/>
    <mergeCell ref="Y9:AB9"/>
    <mergeCell ref="AB11:AB12"/>
    <mergeCell ref="Z10:AA10"/>
    <mergeCell ref="AA11:AA12"/>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8D6453-DEC6-614A-6298-ABE959ED53D5}">
  <sheetPr>
    <tabColor theme="9" tint="-0.249977111117893"/>
  </sheetPr>
  <dimension ref="A1:BG20"/>
  <sheetViews>
    <sheetView showGridLines="0" zoomScale="90" workbookViewId="0">
      <pane xSplit="8" ySplit="12" topLeftCell="I13" activePane="bottomRight" state="frozen"/>
      <selection pane="topRight" activeCell="I1" sqref="I1"/>
      <selection pane="bottomLeft" activeCell="A13" sqref="A13"/>
      <selection pane="bottomRight"/>
    </sheetView>
  </sheetViews>
  <sheetFormatPr defaultColWidth="9.140625" defaultRowHeight="10.5" customHeight="1"/>
  <cols>
    <col min="1" max="3" width="4.140625" style="167" hidden="1" customWidth="1"/>
    <col min="4" max="4" width="4.140625" style="43" hidden="1" customWidth="1"/>
    <col min="5" max="5" width="3" style="4" customWidth="1"/>
    <col min="6" max="6" width="14" style="4" customWidth="1"/>
    <col min="7" max="7" width="3" style="4" customWidth="1"/>
    <col min="8" max="8" width="7" style="4" customWidth="1"/>
    <col min="9" max="10" width="16" style="4" customWidth="1"/>
    <col min="11" max="11" width="25" style="4" customWidth="1"/>
    <col min="12" max="12" width="7" style="4" customWidth="1"/>
    <col min="13" max="13" width="15" style="4" customWidth="1"/>
    <col min="14" max="14" width="3" style="4" customWidth="1"/>
    <col min="15" max="15" width="4" style="4" customWidth="1"/>
    <col min="16" max="16" width="8" style="4" customWidth="1"/>
    <col min="17" max="17" width="21" style="4" customWidth="1"/>
    <col min="18" max="18" width="14" style="4" customWidth="1"/>
    <col min="19" max="20" width="17" style="4" customWidth="1"/>
    <col min="21" max="21" width="9" style="4" customWidth="1"/>
    <col min="22" max="22" width="12" style="4" customWidth="1"/>
    <col min="23" max="23" width="9" style="4" customWidth="1"/>
    <col min="24" max="24" width="21" style="4" customWidth="1"/>
    <col min="25" max="25" width="12" style="4" customWidth="1"/>
    <col min="26" max="26" width="3" style="4" customWidth="1"/>
    <col min="27" max="27" width="6" style="4" customWidth="1"/>
    <col min="28" max="28" width="38" style="4" customWidth="1"/>
    <col min="29" max="29" width="15" style="4" customWidth="1"/>
    <col min="30" max="30" width="37.5703125" style="4" hidden="1" customWidth="1"/>
    <col min="31" max="31" width="15.7109375" style="4" hidden="1" customWidth="1"/>
    <col min="32" max="34" width="16" style="4" customWidth="1"/>
    <col min="35" max="37" width="16.7109375" style="4" hidden="1" customWidth="1"/>
    <col min="38" max="58" width="8" style="4" customWidth="1"/>
    <col min="59" max="59" width="9.140625" style="4" hidden="1"/>
  </cols>
  <sheetData>
    <row r="1" spans="1:59" s="43" customFormat="1" ht="10.5" hidden="1" customHeight="1">
      <c r="A1" s="167"/>
      <c r="B1" s="167"/>
      <c r="C1" s="167"/>
      <c r="BG1" s="43" t="s">
        <v>14</v>
      </c>
    </row>
    <row r="2" spans="1:59" ht="10.5" hidden="1" customHeight="1">
      <c r="BG2" s="4">
        <v>0</v>
      </c>
    </row>
    <row r="3" spans="1:59" s="7" customFormat="1" ht="10.5" hidden="1" customHeight="1">
      <c r="A3" s="167"/>
      <c r="B3" s="167"/>
      <c r="C3" s="167"/>
      <c r="D3" s="43"/>
      <c r="BG3" s="7">
        <v>0</v>
      </c>
    </row>
    <row r="4" spans="1:59" ht="3" customHeight="1">
      <c r="BG4" s="4">
        <v>3</v>
      </c>
    </row>
    <row r="5" spans="1:59" ht="27.4" customHeight="1">
      <c r="F5" s="697"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697"/>
      <c r="H5" s="697"/>
      <c r="I5" s="697"/>
      <c r="J5" s="697"/>
      <c r="K5" s="697"/>
      <c r="BG5" s="4">
        <v>26</v>
      </c>
    </row>
    <row r="6" spans="1:59" ht="10.5" customHeight="1">
      <c r="F6" s="712" t="str">
        <f>IF(org=0,"Не определено",org)</f>
        <v>ООО "Восточная Тепловая компания"</v>
      </c>
      <c r="G6" s="712"/>
      <c r="H6" s="712"/>
      <c r="I6" s="712"/>
      <c r="J6" s="712"/>
      <c r="K6" s="712"/>
      <c r="BG6" s="4">
        <v>10</v>
      </c>
    </row>
    <row r="7" spans="1:59" ht="11.45" customHeight="1">
      <c r="E7" s="6"/>
      <c r="F7" s="308"/>
      <c r="G7" s="308"/>
      <c r="H7" s="308"/>
      <c r="I7" s="308"/>
      <c r="J7" s="308"/>
      <c r="K7" s="310"/>
      <c r="L7" s="310"/>
      <c r="M7" s="310"/>
      <c r="N7" s="308"/>
      <c r="O7" s="308"/>
      <c r="P7" s="308"/>
      <c r="Q7" s="310"/>
      <c r="R7" s="308"/>
      <c r="S7" s="308"/>
      <c r="T7" s="308"/>
      <c r="U7" s="308"/>
      <c r="V7" s="308"/>
      <c r="W7" s="308"/>
      <c r="X7" s="308"/>
      <c r="Y7" s="308"/>
      <c r="Z7" s="308"/>
      <c r="AA7" s="308"/>
      <c r="AB7" s="308"/>
      <c r="AC7" s="309"/>
      <c r="AD7" s="309"/>
      <c r="AE7" s="309"/>
      <c r="AF7" s="308"/>
      <c r="AG7" s="308"/>
      <c r="AH7" s="308"/>
      <c r="AI7" s="308"/>
      <c r="AJ7" s="308"/>
      <c r="AK7" s="308"/>
      <c r="AL7" s="43"/>
      <c r="AM7" s="43"/>
      <c r="AN7" s="43"/>
      <c r="BG7" s="4">
        <v>11</v>
      </c>
    </row>
    <row r="8" spans="1:59" ht="10.5" customHeight="1">
      <c r="E8" s="6"/>
      <c r="F8" s="814" t="s">
        <v>303</v>
      </c>
      <c r="G8" s="815"/>
      <c r="H8" s="815"/>
      <c r="I8" s="815"/>
      <c r="J8" s="815"/>
      <c r="K8" s="815"/>
      <c r="L8" s="815"/>
      <c r="M8" s="815"/>
      <c r="N8" s="815"/>
      <c r="O8" s="815"/>
      <c r="P8" s="815"/>
      <c r="Q8" s="815"/>
      <c r="R8" s="815"/>
      <c r="S8" s="815"/>
      <c r="T8" s="815"/>
      <c r="U8" s="815"/>
      <c r="V8" s="815"/>
      <c r="W8" s="815"/>
      <c r="X8" s="815"/>
      <c r="Y8" s="815"/>
      <c r="Z8" s="815"/>
      <c r="AA8" s="815"/>
      <c r="AB8" s="815"/>
      <c r="AC8" s="815"/>
      <c r="AD8" s="815"/>
      <c r="AE8" s="815"/>
      <c r="AF8" s="815"/>
      <c r="AG8" s="815"/>
      <c r="AH8" s="815"/>
      <c r="AI8" s="815"/>
      <c r="AJ8" s="815"/>
      <c r="AK8" s="816"/>
      <c r="AL8" s="305"/>
      <c r="BG8" s="4">
        <v>10</v>
      </c>
    </row>
    <row r="9" spans="1:59" ht="24" customHeight="1">
      <c r="A9" s="304"/>
      <c r="B9" s="304"/>
      <c r="C9" s="304"/>
      <c r="E9" s="6"/>
      <c r="F9" s="722" t="s">
        <v>989</v>
      </c>
      <c r="G9" s="790" t="s">
        <v>990</v>
      </c>
      <c r="H9" s="811"/>
      <c r="I9" s="679" t="s">
        <v>991</v>
      </c>
      <c r="J9" s="679"/>
      <c r="K9" s="679" t="s">
        <v>992</v>
      </c>
      <c r="L9" s="679"/>
      <c r="M9" s="679"/>
      <c r="N9" s="679"/>
      <c r="O9" s="679"/>
      <c r="P9" s="679"/>
      <c r="Q9" s="679"/>
      <c r="R9" s="679"/>
      <c r="S9" s="679"/>
      <c r="T9" s="679"/>
      <c r="U9" s="679"/>
      <c r="V9" s="679"/>
      <c r="W9" s="679"/>
      <c r="X9" s="679"/>
      <c r="Y9" s="679"/>
      <c r="Z9" s="674" t="s">
        <v>993</v>
      </c>
      <c r="AA9" s="672"/>
      <c r="AB9" s="679" t="s">
        <v>994</v>
      </c>
      <c r="AC9" s="679"/>
      <c r="AD9" s="679"/>
      <c r="AE9" s="679"/>
      <c r="AF9" s="673" t="s">
        <v>995</v>
      </c>
      <c r="AG9" s="679" t="s">
        <v>996</v>
      </c>
      <c r="AH9" s="679"/>
      <c r="AI9" s="673" t="s">
        <v>997</v>
      </c>
      <c r="AJ9" s="679" t="s">
        <v>998</v>
      </c>
      <c r="AK9" s="679"/>
      <c r="BG9" s="4">
        <v>23</v>
      </c>
    </row>
    <row r="10" spans="1:59" ht="25.15" customHeight="1">
      <c r="A10" s="304"/>
      <c r="B10" s="304"/>
      <c r="C10" s="304"/>
      <c r="E10" s="6"/>
      <c r="F10" s="722"/>
      <c r="G10" s="791"/>
      <c r="H10" s="727"/>
      <c r="I10" s="679"/>
      <c r="J10" s="679"/>
      <c r="K10" s="679" t="s">
        <v>999</v>
      </c>
      <c r="L10" s="662" t="s">
        <v>1000</v>
      </c>
      <c r="M10" s="661"/>
      <c r="N10" s="679" t="s">
        <v>1001</v>
      </c>
      <c r="O10" s="679"/>
      <c r="P10" s="679"/>
      <c r="Q10" s="679"/>
      <c r="R10" s="679"/>
      <c r="S10" s="679"/>
      <c r="T10" s="679"/>
      <c r="U10" s="679"/>
      <c r="V10" s="679"/>
      <c r="W10" s="679"/>
      <c r="X10" s="679"/>
      <c r="Y10" s="679"/>
      <c r="Z10" s="713"/>
      <c r="AA10" s="714"/>
      <c r="AB10" s="679"/>
      <c r="AC10" s="679"/>
      <c r="AD10" s="679"/>
      <c r="AE10" s="679"/>
      <c r="AF10" s="705"/>
      <c r="AG10" s="679"/>
      <c r="AH10" s="679"/>
      <c r="AI10" s="705"/>
      <c r="AJ10" s="679"/>
      <c r="AK10" s="679"/>
      <c r="BG10" s="4">
        <v>24</v>
      </c>
    </row>
    <row r="11" spans="1:59" s="4" customFormat="1" ht="25.15" customHeight="1">
      <c r="A11" s="304"/>
      <c r="B11" s="304"/>
      <c r="C11" s="304"/>
      <c r="D11" s="43"/>
      <c r="E11" s="6"/>
      <c r="F11" s="722"/>
      <c r="G11" s="791"/>
      <c r="H11" s="727"/>
      <c r="I11" s="679"/>
      <c r="J11" s="679"/>
      <c r="K11" s="679"/>
      <c r="L11" s="673" t="s">
        <v>1002</v>
      </c>
      <c r="M11" s="673" t="s">
        <v>1003</v>
      </c>
      <c r="N11" s="679" t="s">
        <v>1004</v>
      </c>
      <c r="O11" s="679"/>
      <c r="P11" s="698" t="s">
        <v>985</v>
      </c>
      <c r="Q11" s="698" t="s">
        <v>1005</v>
      </c>
      <c r="R11" s="698" t="s">
        <v>1006</v>
      </c>
      <c r="S11" s="698" t="s">
        <v>1007</v>
      </c>
      <c r="T11" s="698"/>
      <c r="U11" s="698"/>
      <c r="V11" s="698"/>
      <c r="W11" s="698"/>
      <c r="X11" s="698"/>
      <c r="Y11" s="698"/>
      <c r="Z11" s="713"/>
      <c r="AA11" s="714"/>
      <c r="AB11" s="679" t="s">
        <v>1008</v>
      </c>
      <c r="AC11" s="679"/>
      <c r="AD11" s="662" t="s">
        <v>1009</v>
      </c>
      <c r="AE11" s="661"/>
      <c r="AF11" s="705"/>
      <c r="AG11" s="679"/>
      <c r="AH11" s="679"/>
      <c r="AI11" s="705"/>
      <c r="AJ11" s="679"/>
      <c r="AK11" s="679"/>
      <c r="BG11" s="4">
        <v>24</v>
      </c>
    </row>
    <row r="12" spans="1:59" ht="35.65" customHeight="1">
      <c r="A12" s="304"/>
      <c r="B12" s="304"/>
      <c r="C12" s="304"/>
      <c r="E12" s="6"/>
      <c r="F12" s="722"/>
      <c r="G12" s="792"/>
      <c r="H12" s="813"/>
      <c r="I12" s="29" t="s">
        <v>89</v>
      </c>
      <c r="J12" s="29" t="s">
        <v>1010</v>
      </c>
      <c r="K12" s="679"/>
      <c r="L12" s="676"/>
      <c r="M12" s="676"/>
      <c r="N12" s="679"/>
      <c r="O12" s="679"/>
      <c r="P12" s="698"/>
      <c r="Q12" s="698"/>
      <c r="R12" s="698"/>
      <c r="S12" s="27" t="s">
        <v>86</v>
      </c>
      <c r="T12" s="27" t="s">
        <v>87</v>
      </c>
      <c r="U12" s="27" t="s">
        <v>85</v>
      </c>
      <c r="V12" s="27" t="s">
        <v>1011</v>
      </c>
      <c r="W12" s="27" t="s">
        <v>85</v>
      </c>
      <c r="X12" s="27" t="s">
        <v>1012</v>
      </c>
      <c r="Y12" s="27" t="s">
        <v>1013</v>
      </c>
      <c r="Z12" s="677"/>
      <c r="AA12" s="675"/>
      <c r="AB12" s="29" t="s">
        <v>1014</v>
      </c>
      <c r="AC12" s="29" t="s">
        <v>1015</v>
      </c>
      <c r="AD12" s="29" t="s">
        <v>1014</v>
      </c>
      <c r="AE12" s="29" t="s">
        <v>1015</v>
      </c>
      <c r="AF12" s="676"/>
      <c r="AG12" s="29" t="s">
        <v>1016</v>
      </c>
      <c r="AH12" s="29" t="s">
        <v>1017</v>
      </c>
      <c r="AI12" s="676"/>
      <c r="AJ12" s="29" t="s">
        <v>1016</v>
      </c>
      <c r="AK12" s="29" t="s">
        <v>1017</v>
      </c>
      <c r="BG12" s="4">
        <v>34</v>
      </c>
    </row>
    <row r="13" spans="1:59" ht="1.1499999999999999" customHeight="1">
      <c r="E13" s="6"/>
      <c r="F13" s="6">
        <v>0</v>
      </c>
      <c r="G13" s="6"/>
      <c r="H13" s="6"/>
      <c r="I13" s="6"/>
      <c r="J13" s="6"/>
      <c r="AL13" s="305"/>
      <c r="BG13" s="4">
        <v>1</v>
      </c>
    </row>
    <row r="14" spans="1:59" ht="10.5" customHeight="1">
      <c r="BG14" s="4">
        <v>10</v>
      </c>
    </row>
    <row r="15" spans="1:59" ht="13.5" customHeight="1">
      <c r="F15" s="4" t="s">
        <v>1018</v>
      </c>
      <c r="BG15" s="4">
        <v>13</v>
      </c>
    </row>
    <row r="16" spans="1:59" ht="10.5" customHeight="1">
      <c r="BG16" s="4">
        <v>10</v>
      </c>
    </row>
    <row r="17" spans="1:59" ht="10.5" customHeight="1">
      <c r="F17" s="665"/>
      <c r="G17" s="665"/>
      <c r="H17" s="665"/>
      <c r="I17" s="665"/>
      <c r="J17" s="665"/>
      <c r="BG17" s="4">
        <v>10</v>
      </c>
    </row>
    <row r="18" spans="1:59" ht="10.5" customHeight="1">
      <c r="F18" s="665"/>
      <c r="G18" s="665"/>
      <c r="H18" s="665"/>
      <c r="I18" s="665"/>
      <c r="J18" s="665"/>
      <c r="BG18" s="4">
        <v>10</v>
      </c>
    </row>
    <row r="19" spans="1:59" ht="10.5" customHeight="1">
      <c r="F19" s="665"/>
      <c r="G19" s="665"/>
      <c r="H19" s="665"/>
      <c r="I19" s="665"/>
      <c r="J19" s="665"/>
      <c r="BG19" s="4">
        <v>10</v>
      </c>
    </row>
    <row r="20" spans="1:59" ht="10.5" hidden="1" customHeight="1">
      <c r="A20" s="167" t="s">
        <v>82</v>
      </c>
      <c r="B20" s="167">
        <v>0</v>
      </c>
      <c r="C20" s="167">
        <v>0</v>
      </c>
      <c r="D20" s="43">
        <v>0</v>
      </c>
      <c r="E20" s="4">
        <v>3</v>
      </c>
      <c r="F20" s="4">
        <v>14</v>
      </c>
      <c r="G20" s="4">
        <v>3</v>
      </c>
      <c r="H20" s="4">
        <v>7</v>
      </c>
      <c r="I20" s="4">
        <v>16</v>
      </c>
      <c r="J20" s="4">
        <v>16</v>
      </c>
      <c r="K20" s="4">
        <v>25</v>
      </c>
      <c r="L20" s="4">
        <v>7</v>
      </c>
      <c r="M20" s="4">
        <v>15</v>
      </c>
      <c r="N20" s="4">
        <v>3</v>
      </c>
      <c r="O20" s="4">
        <v>4</v>
      </c>
      <c r="P20" s="4">
        <v>8</v>
      </c>
      <c r="Q20" s="4">
        <v>21</v>
      </c>
      <c r="R20" s="4">
        <v>14</v>
      </c>
      <c r="S20" s="4">
        <v>17</v>
      </c>
      <c r="T20" s="4">
        <v>17</v>
      </c>
      <c r="U20" s="4">
        <v>9</v>
      </c>
      <c r="V20" s="4">
        <v>12</v>
      </c>
      <c r="W20" s="4">
        <v>9</v>
      </c>
      <c r="X20" s="4">
        <v>21</v>
      </c>
      <c r="Y20" s="4">
        <v>12</v>
      </c>
      <c r="Z20" s="4">
        <v>3</v>
      </c>
      <c r="AA20" s="4">
        <v>6</v>
      </c>
      <c r="AB20" s="4">
        <v>38</v>
      </c>
      <c r="AC20" s="4">
        <v>15</v>
      </c>
      <c r="AD20" s="4">
        <v>0</v>
      </c>
      <c r="AE20" s="4">
        <v>0</v>
      </c>
      <c r="AF20" s="4">
        <v>16</v>
      </c>
      <c r="AG20" s="4">
        <v>16</v>
      </c>
      <c r="AH20" s="4">
        <v>16</v>
      </c>
      <c r="AI20" s="4">
        <v>0</v>
      </c>
      <c r="AJ20" s="4">
        <v>0</v>
      </c>
      <c r="AK20" s="4">
        <v>0</v>
      </c>
      <c r="AL20" s="4">
        <v>8</v>
      </c>
      <c r="AM20" s="4">
        <v>8</v>
      </c>
      <c r="AN20" s="4">
        <v>8</v>
      </c>
      <c r="AO20" s="4">
        <v>8</v>
      </c>
      <c r="AP20" s="4">
        <v>8</v>
      </c>
      <c r="AQ20" s="4">
        <v>8</v>
      </c>
      <c r="AR20" s="4">
        <v>8</v>
      </c>
      <c r="AS20" s="4">
        <v>8</v>
      </c>
      <c r="AT20" s="4">
        <v>8</v>
      </c>
      <c r="AU20" s="4">
        <v>8</v>
      </c>
      <c r="AV20" s="4">
        <v>8</v>
      </c>
      <c r="AW20" s="4">
        <v>8</v>
      </c>
      <c r="AX20" s="4">
        <v>8</v>
      </c>
      <c r="AY20" s="4">
        <v>8</v>
      </c>
      <c r="AZ20" s="4">
        <v>8</v>
      </c>
      <c r="BA20" s="4">
        <v>8</v>
      </c>
      <c r="BB20" s="4">
        <v>8</v>
      </c>
      <c r="BC20" s="4">
        <v>8</v>
      </c>
      <c r="BD20" s="4">
        <v>8</v>
      </c>
      <c r="BE20" s="4">
        <v>8</v>
      </c>
      <c r="BF20" s="4">
        <v>8</v>
      </c>
      <c r="BG20" s="4">
        <v>10</v>
      </c>
    </row>
  </sheetData>
  <sheetProtection formatColumns="0" formatRows="0" insertRows="0" deleteColumns="0" deleteRows="0" sort="0" autoFilter="0"/>
  <mergeCells count="28">
    <mergeCell ref="I9:J11"/>
    <mergeCell ref="K10:K12"/>
    <mergeCell ref="F18:J18"/>
    <mergeCell ref="F17:J17"/>
    <mergeCell ref="F5:K5"/>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AB9:AE10"/>
    <mergeCell ref="S11:Y11"/>
    <mergeCell ref="N10:Y10"/>
    <mergeCell ref="K9:Y9"/>
    <mergeCell ref="N11:O12"/>
    <mergeCell ref="P11:P12"/>
    <mergeCell ref="Q11:Q12"/>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86D5A7-C613-0506-F017-0274C1F30C9B}">
  <sheetPr>
    <tabColor theme="9" tint="-0.249977111117893"/>
  </sheetPr>
  <dimension ref="A1:W59"/>
  <sheetViews>
    <sheetView showGridLines="0" zoomScale="85" workbookViewId="0">
      <pane xSplit="9" ySplit="13" topLeftCell="J14" activePane="bottomRight" state="frozen"/>
      <selection pane="topRight" activeCell="J1" sqref="J1"/>
      <selection pane="bottomLeft" activeCell="A14" sqref="A14"/>
      <selection pane="bottomRight"/>
    </sheetView>
  </sheetViews>
  <sheetFormatPr defaultColWidth="9.140625" defaultRowHeight="10.5" customHeight="1"/>
  <cols>
    <col min="1" max="3" width="4.140625" style="167" hidden="1" customWidth="1"/>
    <col min="4" max="4" width="4.140625" style="43" hidden="1" customWidth="1"/>
    <col min="5" max="5" width="3" style="4" customWidth="1"/>
    <col min="6" max="6" width="6" style="4" customWidth="1"/>
    <col min="7" max="7" width="60" style="4" customWidth="1"/>
    <col min="8" max="9" width="21.7109375" style="4" hidden="1" customWidth="1"/>
    <col min="10" max="10" width="0.140625" style="4" customWidth="1"/>
    <col min="11" max="11" width="1" style="4" customWidth="1"/>
    <col min="12" max="22" width="8" style="4" customWidth="1"/>
    <col min="23" max="23" width="9.140625" style="4" hidden="1"/>
  </cols>
  <sheetData>
    <row r="1" spans="1:23" s="43" customFormat="1" ht="10.5" hidden="1" customHeight="1">
      <c r="A1" s="167"/>
      <c r="B1" s="167"/>
      <c r="C1" s="167"/>
      <c r="W1" s="43" t="s">
        <v>14</v>
      </c>
    </row>
    <row r="2" spans="1:23" ht="10.5" hidden="1" customHeight="1">
      <c r="W2" s="4">
        <v>0</v>
      </c>
    </row>
    <row r="3" spans="1:23" s="7" customFormat="1" ht="10.5" hidden="1" customHeight="1">
      <c r="A3" s="167"/>
      <c r="B3" s="167"/>
      <c r="C3" s="167"/>
      <c r="D3" s="43"/>
      <c r="W3" s="7">
        <v>0</v>
      </c>
    </row>
    <row r="4" spans="1:23" ht="3" customHeight="1">
      <c r="W4" s="4">
        <v>3</v>
      </c>
    </row>
    <row r="5" spans="1:23" ht="27.4" customHeight="1">
      <c r="F5" s="697" t="str">
        <f>IP_NAME_FORM&amp;"
Финансовый план"</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Финансовый план</v>
      </c>
      <c r="G5" s="697"/>
      <c r="H5" s="697"/>
      <c r="I5" s="697"/>
      <c r="J5" s="697"/>
      <c r="W5" s="4">
        <v>26</v>
      </c>
    </row>
    <row r="6" spans="1:23" ht="10.5" customHeight="1">
      <c r="F6" s="712" t="str">
        <f>IF(org=0,"Не определено",org)</f>
        <v>ООО "Восточная Тепловая компания"</v>
      </c>
      <c r="G6" s="712"/>
      <c r="H6" s="712"/>
      <c r="I6" s="712"/>
      <c r="J6" s="712"/>
      <c r="W6" s="4">
        <v>10</v>
      </c>
    </row>
    <row r="7" spans="1:23" ht="11.45" customHeight="1">
      <c r="E7" s="6"/>
      <c r="F7" s="414"/>
      <c r="G7" s="414"/>
      <c r="H7" s="414"/>
      <c r="I7" s="414"/>
      <c r="J7" s="414"/>
      <c r="W7" s="4">
        <v>11</v>
      </c>
    </row>
    <row r="8" spans="1:23" s="46" customFormat="1" ht="4.1500000000000004" customHeight="1">
      <c r="A8" s="160"/>
      <c r="B8" s="160"/>
      <c r="C8" s="160"/>
      <c r="F8" s="415"/>
      <c r="G8" s="415"/>
      <c r="H8" s="415"/>
      <c r="I8" s="415"/>
      <c r="J8" s="415"/>
      <c r="W8" s="46">
        <v>4</v>
      </c>
    </row>
    <row r="9" spans="1:23" ht="10.5" customHeight="1">
      <c r="E9" s="6"/>
      <c r="F9" s="817" t="s">
        <v>303</v>
      </c>
      <c r="G9" s="818"/>
      <c r="H9" s="818"/>
      <c r="I9" s="818"/>
      <c r="J9" s="818"/>
      <c r="K9" s="305"/>
      <c r="W9" s="4">
        <v>10</v>
      </c>
    </row>
    <row r="10" spans="1:23" ht="25.15" customHeight="1">
      <c r="F10" s="702" t="s">
        <v>88</v>
      </c>
      <c r="G10" s="698" t="s">
        <v>1019</v>
      </c>
      <c r="H10" s="698" t="s">
        <v>1020</v>
      </c>
      <c r="I10" s="698"/>
      <c r="J10" s="698"/>
      <c r="K10" s="417"/>
      <c r="W10" s="4">
        <v>24</v>
      </c>
    </row>
    <row r="11" spans="1:23" ht="25.5" customHeight="1">
      <c r="F11" s="703"/>
      <c r="G11" s="698"/>
      <c r="H11" s="808" t="e">
        <f>INDEX(IP_MAIN_LIST_NAME_IP,MATCH(H8,IP_MAIN_LIST_IP_ID,0))&amp;" ("&amp;INDEX(IP_MAIN_START_DATE,MATCH(H8,IP_MAIN_LIST_IP_ID,0))&amp;"-"&amp;INDEX(IP_MAIN_END_DATE,MATCH(H8,IP_MAIN_LIST_IP_ID,0))&amp;")"</f>
        <v>#N/A</v>
      </c>
      <c r="I11" s="808"/>
      <c r="J11" s="808"/>
      <c r="K11" s="417"/>
      <c r="W11" s="4">
        <v>24</v>
      </c>
    </row>
    <row r="12" spans="1:23" ht="10.5" customHeight="1">
      <c r="F12" s="704"/>
      <c r="G12" s="698"/>
      <c r="H12" s="49" t="s">
        <v>1021</v>
      </c>
      <c r="I12" s="416"/>
      <c r="J12" s="49"/>
      <c r="K12" s="417"/>
      <c r="W12" s="4">
        <v>10</v>
      </c>
    </row>
    <row r="13" spans="1:23" ht="10.5" hidden="1" customHeight="1">
      <c r="F13" s="49">
        <v>1</v>
      </c>
      <c r="G13" s="49">
        <v>2</v>
      </c>
      <c r="H13" s="49">
        <v>3</v>
      </c>
      <c r="I13" s="49">
        <v>4</v>
      </c>
      <c r="J13" s="49">
        <v>5</v>
      </c>
      <c r="K13" s="417"/>
      <c r="W13" s="4">
        <v>0</v>
      </c>
    </row>
    <row r="14" spans="1:23" ht="11.45" customHeight="1">
      <c r="F14" s="49" t="s">
        <v>1022</v>
      </c>
      <c r="G14" s="698" t="s">
        <v>1023</v>
      </c>
      <c r="H14" s="698"/>
      <c r="I14" s="698"/>
      <c r="J14" s="698"/>
      <c r="K14" s="417"/>
      <c r="W14" s="4">
        <v>11</v>
      </c>
    </row>
    <row r="15" spans="1:23" ht="11.45" customHeight="1">
      <c r="F15" s="49">
        <v>1</v>
      </c>
      <c r="G15" s="49" t="s">
        <v>1024</v>
      </c>
      <c r="H15" s="202">
        <f t="shared" ref="H15:H36" si="0">SUM(I15:J15)</f>
        <v>0</v>
      </c>
      <c r="I15" s="202">
        <f>SUM(I16:I27)</f>
        <v>0</v>
      </c>
      <c r="J15" s="49"/>
      <c r="K15" s="417"/>
      <c r="W15" s="4">
        <v>11</v>
      </c>
    </row>
    <row r="16" spans="1:23" ht="24" customHeight="1">
      <c r="F16" s="49" t="s">
        <v>1025</v>
      </c>
      <c r="G16" s="49" t="s">
        <v>1026</v>
      </c>
      <c r="H16" s="202">
        <f t="shared" si="0"/>
        <v>0</v>
      </c>
      <c r="I16" s="418"/>
      <c r="J16" s="49"/>
      <c r="K16" s="417"/>
      <c r="W16" s="4">
        <v>23</v>
      </c>
    </row>
    <row r="17" spans="6:23" ht="24" customHeight="1">
      <c r="F17" s="49" t="s">
        <v>1027</v>
      </c>
      <c r="G17" s="49" t="s">
        <v>1028</v>
      </c>
      <c r="H17" s="202">
        <f t="shared" si="0"/>
        <v>0</v>
      </c>
      <c r="I17" s="418"/>
      <c r="J17" s="49"/>
      <c r="K17" s="417"/>
      <c r="W17" s="4">
        <v>23</v>
      </c>
    </row>
    <row r="18" spans="6:23" ht="35.65" customHeight="1">
      <c r="F18" s="49" t="s">
        <v>1029</v>
      </c>
      <c r="G18" s="49" t="s">
        <v>1030</v>
      </c>
      <c r="H18" s="202">
        <f t="shared" si="0"/>
        <v>0</v>
      </c>
      <c r="I18" s="418"/>
      <c r="J18" s="49"/>
      <c r="K18" s="417"/>
      <c r="W18" s="4">
        <v>34</v>
      </c>
    </row>
    <row r="19" spans="6:23" ht="35.65" customHeight="1">
      <c r="F19" s="49" t="s">
        <v>1031</v>
      </c>
      <c r="G19" s="49" t="s">
        <v>1032</v>
      </c>
      <c r="H19" s="202">
        <f t="shared" si="0"/>
        <v>0</v>
      </c>
      <c r="I19" s="418"/>
      <c r="J19" s="49"/>
      <c r="K19" s="417"/>
      <c r="W19" s="4">
        <v>34</v>
      </c>
    </row>
    <row r="20" spans="6:23" ht="48.2" customHeight="1">
      <c r="F20" s="49" t="s">
        <v>1033</v>
      </c>
      <c r="G20" s="49" t="s">
        <v>1034</v>
      </c>
      <c r="H20" s="202">
        <f t="shared" si="0"/>
        <v>0</v>
      </c>
      <c r="I20" s="418"/>
      <c r="J20" s="49"/>
      <c r="K20" s="417"/>
      <c r="W20" s="4">
        <v>46</v>
      </c>
    </row>
    <row r="21" spans="6:23" ht="35.65" customHeight="1">
      <c r="F21" s="49" t="s">
        <v>1035</v>
      </c>
      <c r="G21" s="49" t="s">
        <v>1036</v>
      </c>
      <c r="H21" s="202">
        <f t="shared" si="0"/>
        <v>0</v>
      </c>
      <c r="I21" s="418"/>
      <c r="J21" s="49"/>
      <c r="K21" s="417"/>
      <c r="W21" s="4">
        <v>34</v>
      </c>
    </row>
    <row r="22" spans="6:23" ht="35.65" customHeight="1">
      <c r="F22" s="49" t="s">
        <v>1037</v>
      </c>
      <c r="G22" s="49" t="s">
        <v>1038</v>
      </c>
      <c r="H22" s="202">
        <f t="shared" si="0"/>
        <v>0</v>
      </c>
      <c r="I22" s="418"/>
      <c r="J22" s="49"/>
      <c r="K22" s="417"/>
      <c r="W22" s="4">
        <v>34</v>
      </c>
    </row>
    <row r="23" spans="6:23" ht="24" customHeight="1">
      <c r="F23" s="49" t="s">
        <v>1039</v>
      </c>
      <c r="G23" s="49" t="s">
        <v>1040</v>
      </c>
      <c r="H23" s="202">
        <f t="shared" si="0"/>
        <v>0</v>
      </c>
      <c r="I23" s="418"/>
      <c r="J23" s="49"/>
      <c r="K23" s="417"/>
      <c r="W23" s="4">
        <v>23</v>
      </c>
    </row>
    <row r="24" spans="6:23" ht="24" customHeight="1">
      <c r="F24" s="49" t="s">
        <v>1041</v>
      </c>
      <c r="G24" s="49" t="s">
        <v>1042</v>
      </c>
      <c r="H24" s="202">
        <f t="shared" si="0"/>
        <v>0</v>
      </c>
      <c r="I24" s="418"/>
      <c r="J24" s="49"/>
      <c r="K24" s="417"/>
      <c r="W24" s="4">
        <v>23</v>
      </c>
    </row>
    <row r="25" spans="6:23" ht="35.65" customHeight="1">
      <c r="F25" s="49" t="s">
        <v>1043</v>
      </c>
      <c r="G25" s="49" t="s">
        <v>1044</v>
      </c>
      <c r="H25" s="202">
        <f t="shared" si="0"/>
        <v>0</v>
      </c>
      <c r="I25" s="418"/>
      <c r="J25" s="49"/>
      <c r="K25" s="417"/>
      <c r="W25" s="4">
        <v>34</v>
      </c>
    </row>
    <row r="26" spans="6:23" ht="35.65" customHeight="1">
      <c r="F26" s="49" t="s">
        <v>1045</v>
      </c>
      <c r="G26" s="49" t="s">
        <v>1046</v>
      </c>
      <c r="H26" s="202">
        <f t="shared" si="0"/>
        <v>0</v>
      </c>
      <c r="I26" s="418"/>
      <c r="J26" s="49"/>
      <c r="K26" s="417"/>
      <c r="W26" s="4">
        <v>34</v>
      </c>
    </row>
    <row r="27" spans="6:23" ht="11.45" customHeight="1">
      <c r="F27" s="49" t="s">
        <v>1047</v>
      </c>
      <c r="G27" s="49" t="s">
        <v>1048</v>
      </c>
      <c r="H27" s="202">
        <f t="shared" si="0"/>
        <v>0</v>
      </c>
      <c r="I27" s="418"/>
      <c r="J27" s="49"/>
      <c r="K27" s="417"/>
      <c r="W27" s="4">
        <v>11</v>
      </c>
    </row>
    <row r="28" spans="6:23" ht="11.45" customHeight="1">
      <c r="F28" s="49">
        <v>2</v>
      </c>
      <c r="G28" s="49" t="s">
        <v>1049</v>
      </c>
      <c r="H28" s="202">
        <f t="shared" si="0"/>
        <v>0</v>
      </c>
      <c r="I28" s="202">
        <f>SUM(I29:I31)</f>
        <v>0</v>
      </c>
      <c r="J28" s="49"/>
      <c r="K28" s="417"/>
      <c r="W28" s="4">
        <v>11</v>
      </c>
    </row>
    <row r="29" spans="6:23" ht="11.45" customHeight="1">
      <c r="F29" s="49" t="s">
        <v>712</v>
      </c>
      <c r="G29" s="49" t="s">
        <v>1050</v>
      </c>
      <c r="H29" s="202">
        <f t="shared" si="0"/>
        <v>0</v>
      </c>
      <c r="I29" s="418"/>
      <c r="J29" s="49"/>
      <c r="K29" s="417"/>
      <c r="W29" s="4">
        <v>11</v>
      </c>
    </row>
    <row r="30" spans="6:23" ht="11.45" customHeight="1">
      <c r="F30" s="49" t="s">
        <v>310</v>
      </c>
      <c r="G30" s="49" t="s">
        <v>1051</v>
      </c>
      <c r="H30" s="202">
        <f t="shared" si="0"/>
        <v>0</v>
      </c>
      <c r="I30" s="418"/>
      <c r="J30" s="49"/>
      <c r="K30" s="417"/>
      <c r="W30" s="4">
        <v>11</v>
      </c>
    </row>
    <row r="31" spans="6:23" ht="11.45" customHeight="1">
      <c r="F31" s="49" t="s">
        <v>313</v>
      </c>
      <c r="G31" s="49" t="s">
        <v>1052</v>
      </c>
      <c r="H31" s="202">
        <f t="shared" si="0"/>
        <v>0</v>
      </c>
      <c r="I31" s="418"/>
      <c r="J31" s="49"/>
      <c r="K31" s="417"/>
      <c r="W31" s="4">
        <v>11</v>
      </c>
    </row>
    <row r="32" spans="6:23" ht="11.45" customHeight="1">
      <c r="F32" s="49">
        <v>3</v>
      </c>
      <c r="G32" s="49" t="s">
        <v>1053</v>
      </c>
      <c r="H32" s="202">
        <f t="shared" si="0"/>
        <v>0</v>
      </c>
      <c r="I32" s="202">
        <f>SUM(I33:I34)</f>
        <v>0</v>
      </c>
      <c r="J32" s="49"/>
      <c r="K32" s="417"/>
      <c r="W32" s="4">
        <v>11</v>
      </c>
    </row>
    <row r="33" spans="6:23" ht="48.2" customHeight="1">
      <c r="F33" s="49" t="s">
        <v>327</v>
      </c>
      <c r="G33" s="49" t="s">
        <v>1054</v>
      </c>
      <c r="H33" s="202">
        <f t="shared" si="0"/>
        <v>0</v>
      </c>
      <c r="I33" s="418"/>
      <c r="J33" s="49"/>
      <c r="K33" s="417"/>
      <c r="W33" s="4">
        <v>46</v>
      </c>
    </row>
    <row r="34" spans="6:23" ht="11.45" customHeight="1">
      <c r="F34" s="49" t="s">
        <v>335</v>
      </c>
      <c r="G34" s="49" t="s">
        <v>1055</v>
      </c>
      <c r="H34" s="202">
        <f t="shared" si="0"/>
        <v>0</v>
      </c>
      <c r="I34" s="418"/>
      <c r="J34" s="49"/>
      <c r="K34" s="417"/>
      <c r="W34" s="4">
        <v>11</v>
      </c>
    </row>
    <row r="35" spans="6:23" ht="11.45" customHeight="1">
      <c r="F35" s="49">
        <v>4</v>
      </c>
      <c r="G35" s="49" t="s">
        <v>1056</v>
      </c>
      <c r="H35" s="202">
        <f t="shared" si="0"/>
        <v>0</v>
      </c>
      <c r="I35" s="418"/>
      <c r="J35" s="49"/>
      <c r="K35" s="417"/>
      <c r="W35" s="4">
        <v>11</v>
      </c>
    </row>
    <row r="36" spans="6:23" ht="11.45" customHeight="1">
      <c r="F36" s="49"/>
      <c r="G36" s="49" t="s">
        <v>1057</v>
      </c>
      <c r="H36" s="202">
        <f t="shared" si="0"/>
        <v>0</v>
      </c>
      <c r="I36" s="202">
        <f>SUM(I15,I28,I32,I35)</f>
        <v>0</v>
      </c>
      <c r="J36" s="49"/>
      <c r="K36" s="417"/>
      <c r="W36" s="4">
        <v>11</v>
      </c>
    </row>
    <row r="37" spans="6:23" ht="29.25" customHeight="1">
      <c r="F37" s="49" t="s">
        <v>1058</v>
      </c>
      <c r="G37" s="698" t="s">
        <v>1059</v>
      </c>
      <c r="H37" s="698"/>
      <c r="I37" s="698"/>
      <c r="J37" s="698"/>
      <c r="K37" s="417"/>
      <c r="W37" s="4">
        <v>28</v>
      </c>
    </row>
    <row r="38" spans="6:23" ht="24" customHeight="1">
      <c r="F38" s="49" t="s">
        <v>110</v>
      </c>
      <c r="G38" s="49" t="s">
        <v>1060</v>
      </c>
      <c r="H38" s="202">
        <f t="shared" ref="H38:H58" si="1">SUM(I38:J38)</f>
        <v>0</v>
      </c>
      <c r="I38" s="202">
        <f>SUM(I39,I44,I47)</f>
        <v>0</v>
      </c>
      <c r="J38" s="49"/>
      <c r="K38" s="417"/>
      <c r="W38" s="4">
        <v>23</v>
      </c>
    </row>
    <row r="39" spans="6:23" ht="11.45" customHeight="1">
      <c r="F39" s="49" t="s">
        <v>1025</v>
      </c>
      <c r="G39" s="49" t="s">
        <v>1024</v>
      </c>
      <c r="H39" s="202">
        <f t="shared" si="1"/>
        <v>0</v>
      </c>
      <c r="I39" s="202">
        <f>SUM(I40:I43)</f>
        <v>0</v>
      </c>
      <c r="J39" s="49"/>
      <c r="K39" s="417"/>
      <c r="W39" s="4">
        <v>11</v>
      </c>
    </row>
    <row r="40" spans="6:23" ht="24" customHeight="1">
      <c r="F40" s="49" t="s">
        <v>1061</v>
      </c>
      <c r="G40" s="49" t="s">
        <v>1062</v>
      </c>
      <c r="H40" s="202">
        <f t="shared" si="1"/>
        <v>0</v>
      </c>
      <c r="I40" s="418"/>
      <c r="J40" s="49"/>
      <c r="K40" s="417"/>
      <c r="W40" s="4">
        <v>23</v>
      </c>
    </row>
    <row r="41" spans="6:23" ht="11.45" customHeight="1">
      <c r="F41" s="49" t="s">
        <v>1063</v>
      </c>
      <c r="G41" s="49" t="s">
        <v>1064</v>
      </c>
      <c r="H41" s="202">
        <f t="shared" si="1"/>
        <v>0</v>
      </c>
      <c r="I41" s="418"/>
      <c r="J41" s="49"/>
      <c r="K41" s="417"/>
      <c r="W41" s="4">
        <v>11</v>
      </c>
    </row>
    <row r="42" spans="6:23" ht="11.45" customHeight="1">
      <c r="F42" s="49" t="s">
        <v>1065</v>
      </c>
      <c r="G42" s="49" t="s">
        <v>1066</v>
      </c>
      <c r="H42" s="202">
        <f t="shared" si="1"/>
        <v>0</v>
      </c>
      <c r="I42" s="418"/>
      <c r="J42" s="49"/>
      <c r="K42" s="417"/>
      <c r="W42" s="4">
        <v>11</v>
      </c>
    </row>
    <row r="43" spans="6:23" ht="35.65" customHeight="1">
      <c r="F43" s="49" t="s">
        <v>1067</v>
      </c>
      <c r="G43" s="49" t="s">
        <v>1068</v>
      </c>
      <c r="H43" s="202">
        <f t="shared" si="1"/>
        <v>0</v>
      </c>
      <c r="I43" s="418"/>
      <c r="J43" s="49"/>
      <c r="K43" s="417"/>
      <c r="W43" s="4">
        <v>34</v>
      </c>
    </row>
    <row r="44" spans="6:23" ht="11.45" customHeight="1">
      <c r="F44" s="49" t="s">
        <v>1027</v>
      </c>
      <c r="G44" s="49" t="s">
        <v>1053</v>
      </c>
      <c r="H44" s="202">
        <f t="shared" si="1"/>
        <v>0</v>
      </c>
      <c r="I44" s="202">
        <f>SUM(I45:I46)</f>
        <v>0</v>
      </c>
      <c r="J44" s="49"/>
      <c r="K44" s="417"/>
      <c r="W44" s="4">
        <v>11</v>
      </c>
    </row>
    <row r="45" spans="6:23" ht="48.2" customHeight="1">
      <c r="F45" s="49" t="s">
        <v>1069</v>
      </c>
      <c r="G45" s="49" t="s">
        <v>1054</v>
      </c>
      <c r="H45" s="202">
        <f t="shared" si="1"/>
        <v>0</v>
      </c>
      <c r="I45" s="418"/>
      <c r="J45" s="49"/>
      <c r="K45" s="417"/>
      <c r="W45" s="4">
        <v>46</v>
      </c>
    </row>
    <row r="46" spans="6:23" ht="11.45" customHeight="1">
      <c r="F46" s="49" t="s">
        <v>1070</v>
      </c>
      <c r="G46" s="49" t="s">
        <v>1055</v>
      </c>
      <c r="H46" s="202">
        <f t="shared" si="1"/>
        <v>0</v>
      </c>
      <c r="I46" s="418"/>
      <c r="J46" s="49"/>
      <c r="K46" s="417"/>
      <c r="W46" s="4">
        <v>11</v>
      </c>
    </row>
    <row r="47" spans="6:23" ht="11.45" customHeight="1">
      <c r="F47" s="49" t="s">
        <v>1029</v>
      </c>
      <c r="G47" s="49" t="s">
        <v>1071</v>
      </c>
      <c r="H47" s="202">
        <f t="shared" si="1"/>
        <v>0</v>
      </c>
      <c r="I47" s="418"/>
      <c r="J47" s="49"/>
      <c r="K47" s="417"/>
      <c r="W47" s="4">
        <v>11</v>
      </c>
    </row>
    <row r="48" spans="6:23" ht="24" customHeight="1">
      <c r="F48" s="49" t="s">
        <v>111</v>
      </c>
      <c r="G48" s="49" t="s">
        <v>1072</v>
      </c>
      <c r="H48" s="202">
        <f t="shared" si="1"/>
        <v>0</v>
      </c>
      <c r="I48" s="202">
        <f>SUM(I49,I54,I57)</f>
        <v>0</v>
      </c>
      <c r="J48" s="49"/>
      <c r="K48" s="417"/>
      <c r="W48" s="4">
        <v>23</v>
      </c>
    </row>
    <row r="49" spans="1:23" ht="11.45" customHeight="1">
      <c r="F49" s="49" t="s">
        <v>712</v>
      </c>
      <c r="G49" s="49" t="s">
        <v>1024</v>
      </c>
      <c r="H49" s="202">
        <f t="shared" si="1"/>
        <v>0</v>
      </c>
      <c r="I49" s="202">
        <f>SUM(I50:I53)</f>
        <v>0</v>
      </c>
      <c r="J49" s="49"/>
      <c r="K49" s="417"/>
      <c r="W49" s="4">
        <v>11</v>
      </c>
    </row>
    <row r="50" spans="1:23" ht="24" customHeight="1">
      <c r="F50" s="49" t="s">
        <v>715</v>
      </c>
      <c r="G50" s="49" t="s">
        <v>1062</v>
      </c>
      <c r="H50" s="202">
        <f t="shared" si="1"/>
        <v>0</v>
      </c>
      <c r="I50" s="418"/>
      <c r="J50" s="49"/>
      <c r="K50" s="417"/>
      <c r="W50" s="4">
        <v>23</v>
      </c>
    </row>
    <row r="51" spans="1:23" ht="11.45" customHeight="1">
      <c r="F51" s="49" t="s">
        <v>718</v>
      </c>
      <c r="G51" s="49" t="s">
        <v>1064</v>
      </c>
      <c r="H51" s="202">
        <f t="shared" si="1"/>
        <v>0</v>
      </c>
      <c r="I51" s="418"/>
      <c r="J51" s="49"/>
      <c r="K51" s="417"/>
      <c r="W51" s="4">
        <v>11</v>
      </c>
    </row>
    <row r="52" spans="1:23" ht="11.45" customHeight="1">
      <c r="F52" s="49" t="s">
        <v>1073</v>
      </c>
      <c r="G52" s="49" t="s">
        <v>1066</v>
      </c>
      <c r="H52" s="202">
        <f t="shared" si="1"/>
        <v>0</v>
      </c>
      <c r="I52" s="418"/>
      <c r="J52" s="49"/>
      <c r="K52" s="417"/>
      <c r="W52" s="4">
        <v>11</v>
      </c>
    </row>
    <row r="53" spans="1:23" ht="35.65" customHeight="1">
      <c r="F53" s="49" t="s">
        <v>1074</v>
      </c>
      <c r="G53" s="49" t="s">
        <v>1068</v>
      </c>
      <c r="H53" s="202">
        <f t="shared" si="1"/>
        <v>0</v>
      </c>
      <c r="I53" s="418"/>
      <c r="J53" s="49"/>
      <c r="K53" s="417"/>
      <c r="W53" s="4">
        <v>34</v>
      </c>
    </row>
    <row r="54" spans="1:23" ht="11.45" customHeight="1">
      <c r="F54" s="49" t="s">
        <v>310</v>
      </c>
      <c r="G54" s="49" t="s">
        <v>1053</v>
      </c>
      <c r="H54" s="202">
        <f t="shared" si="1"/>
        <v>0</v>
      </c>
      <c r="I54" s="202">
        <f>SUM(I55:I56)</f>
        <v>0</v>
      </c>
      <c r="J54" s="49"/>
      <c r="K54" s="417"/>
      <c r="W54" s="4">
        <v>11</v>
      </c>
    </row>
    <row r="55" spans="1:23" ht="48.2" customHeight="1">
      <c r="F55" s="49" t="s">
        <v>722</v>
      </c>
      <c r="G55" s="49" t="s">
        <v>1054</v>
      </c>
      <c r="H55" s="202">
        <f t="shared" si="1"/>
        <v>0</v>
      </c>
      <c r="I55" s="418"/>
      <c r="J55" s="49"/>
      <c r="K55" s="417"/>
      <c r="W55" s="4">
        <v>46</v>
      </c>
    </row>
    <row r="56" spans="1:23" ht="11.45" customHeight="1">
      <c r="F56" s="49" t="s">
        <v>724</v>
      </c>
      <c r="G56" s="49" t="s">
        <v>1055</v>
      </c>
      <c r="H56" s="202">
        <f t="shared" si="1"/>
        <v>0</v>
      </c>
      <c r="I56" s="418"/>
      <c r="J56" s="49"/>
      <c r="K56" s="417"/>
      <c r="W56" s="4">
        <v>11</v>
      </c>
    </row>
    <row r="57" spans="1:23" ht="11.45" customHeight="1">
      <c r="F57" s="49" t="s">
        <v>313</v>
      </c>
      <c r="G57" s="49" t="s">
        <v>1071</v>
      </c>
      <c r="H57" s="202">
        <f t="shared" si="1"/>
        <v>0</v>
      </c>
      <c r="I57" s="418"/>
      <c r="J57" s="49"/>
      <c r="K57" s="417"/>
      <c r="W57" s="4">
        <v>11</v>
      </c>
    </row>
    <row r="58" spans="1:23" ht="11.45" customHeight="1">
      <c r="F58" s="49"/>
      <c r="G58" s="49" t="s">
        <v>1057</v>
      </c>
      <c r="H58" s="202">
        <f t="shared" si="1"/>
        <v>0</v>
      </c>
      <c r="I58" s="202">
        <f>SUM(I38,I48)</f>
        <v>0</v>
      </c>
      <c r="J58" s="49"/>
      <c r="K58" s="417"/>
      <c r="W58" s="4">
        <v>11</v>
      </c>
    </row>
    <row r="59" spans="1:23" ht="10.5" hidden="1" customHeight="1">
      <c r="A59" s="167" t="s">
        <v>82</v>
      </c>
      <c r="B59" s="167">
        <v>0</v>
      </c>
      <c r="C59" s="167">
        <v>0</v>
      </c>
      <c r="D59" s="43">
        <v>0</v>
      </c>
      <c r="E59" s="4">
        <v>3</v>
      </c>
      <c r="F59" s="4">
        <v>6</v>
      </c>
      <c r="G59" s="4">
        <v>60</v>
      </c>
      <c r="H59" s="4">
        <v>0</v>
      </c>
      <c r="I59" s="4">
        <v>0</v>
      </c>
      <c r="J59" s="4">
        <v>0</v>
      </c>
      <c r="K59" s="4">
        <v>1</v>
      </c>
      <c r="L59" s="4">
        <v>8</v>
      </c>
      <c r="M59" s="4">
        <v>8</v>
      </c>
      <c r="N59" s="4">
        <v>8</v>
      </c>
      <c r="O59" s="4">
        <v>8</v>
      </c>
      <c r="P59" s="4">
        <v>8</v>
      </c>
      <c r="Q59" s="4">
        <v>8</v>
      </c>
      <c r="R59" s="4">
        <v>8</v>
      </c>
      <c r="S59" s="4">
        <v>8</v>
      </c>
      <c r="T59" s="4">
        <v>8</v>
      </c>
      <c r="U59" s="4">
        <v>8</v>
      </c>
      <c r="V59" s="4">
        <v>8</v>
      </c>
      <c r="W59" s="4">
        <v>10</v>
      </c>
    </row>
  </sheetData>
  <sheetProtection formatColumns="0" formatRows="0" insertRows="0" deleteColumns="0" deleteRows="0" sort="0" autoFilter="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xr:uid="{00000000-0002-0000-2A00-000000000000}">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083482-F85E-2F12-6601-3A10BC5472BB}">
  <sheetPr>
    <tabColor theme="9" tint="-0.249977111117893"/>
  </sheetPr>
  <dimension ref="A1:GC25"/>
  <sheetViews>
    <sheetView showGridLines="0" zoomScale="90" workbookViewId="0">
      <pane xSplit="14" ySplit="17" topLeftCell="O18" activePane="bottomRight" state="frozen"/>
      <selection pane="topRight" activeCell="O1" sqref="O1"/>
      <selection pane="bottomLeft" activeCell="A18" sqref="A18"/>
      <selection pane="bottomRight"/>
    </sheetView>
  </sheetViews>
  <sheetFormatPr defaultColWidth="9.140625" defaultRowHeight="12" customHeight="1"/>
  <cols>
    <col min="1" max="1" width="4.7109375" style="38" hidden="1" customWidth="1"/>
    <col min="2" max="2" width="4.7109375" style="311" hidden="1" customWidth="1"/>
    <col min="3" max="4" width="4.7109375" style="38" hidden="1" customWidth="1"/>
    <col min="5" max="5" width="3" style="38" customWidth="1"/>
    <col min="6" max="6" width="6" style="38" customWidth="1"/>
    <col min="7" max="7" width="18" style="38" customWidth="1"/>
    <col min="8" max="8" width="27" style="38" customWidth="1"/>
    <col min="9" max="9" width="18" style="38" customWidth="1"/>
    <col min="10" max="14" width="0.85546875" style="38" hidden="1" customWidth="1"/>
    <col min="15" max="28" width="21.7109375" style="38" customWidth="1"/>
    <col min="29" max="71" width="0.85546875" style="38" customWidth="1"/>
    <col min="72" max="79" width="21.7109375" style="38" hidden="1" customWidth="1"/>
    <col min="80" max="81" width="29.140625" style="38" hidden="1" customWidth="1"/>
    <col min="82" max="89" width="21.7109375" style="38" hidden="1" customWidth="1"/>
    <col min="90" max="102" width="0.7109375" style="38" hidden="1" customWidth="1"/>
    <col min="103" max="114" width="21.7109375" style="38" hidden="1" customWidth="1"/>
    <col min="115" max="178" width="0.7109375" style="38" hidden="1" customWidth="1"/>
    <col min="179" max="179" width="0.140625" style="38" customWidth="1"/>
    <col min="180" max="184" width="8" style="38" customWidth="1"/>
    <col min="185" max="185" width="9.140625" style="38" hidden="1"/>
  </cols>
  <sheetData>
    <row r="1" spans="2:185" s="38" customFormat="1" ht="12" hidden="1" customHeight="1">
      <c r="B1" s="311"/>
      <c r="GC1" s="38" t="s">
        <v>14</v>
      </c>
    </row>
    <row r="2" spans="2:185" s="38" customFormat="1" ht="12" hidden="1" customHeight="1">
      <c r="B2" s="311"/>
      <c r="GC2" s="38">
        <v>0</v>
      </c>
    </row>
    <row r="3" spans="2:185" s="38" customFormat="1" ht="12" hidden="1" customHeight="1">
      <c r="B3" s="311"/>
      <c r="GC3" s="38">
        <v>0</v>
      </c>
    </row>
    <row r="4" spans="2:185" ht="10.5" customHeight="1">
      <c r="H4" s="39"/>
      <c r="I4" s="39"/>
      <c r="J4" s="39"/>
      <c r="K4" s="39"/>
      <c r="L4" s="39"/>
      <c r="GC4" s="38">
        <v>10</v>
      </c>
    </row>
    <row r="5" spans="2:185" s="23" customFormat="1" ht="27.4" customHeight="1">
      <c r="B5" s="21"/>
      <c r="E5" s="11"/>
      <c r="F5" s="672" t="str">
        <f>IP_NAME_FORM&amp;"
Показатели качества, надежности и энергетической эффективности в сфере "&amp;TEMPLATE_SPHERE_RUS</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Показатели качества, надежности и энергетической эффективности в сфере теплоснабжения</v>
      </c>
      <c r="G5" s="673"/>
      <c r="H5" s="673"/>
      <c r="I5" s="673"/>
      <c r="J5" s="673"/>
      <c r="K5" s="673"/>
      <c r="L5" s="673"/>
      <c r="M5" s="673"/>
      <c r="N5" s="673"/>
      <c r="O5" s="673"/>
      <c r="P5" s="673"/>
      <c r="Q5" s="673"/>
      <c r="R5" s="673"/>
      <c r="S5" s="673"/>
      <c r="T5" s="673"/>
      <c r="U5" s="673"/>
      <c r="V5" s="673"/>
      <c r="W5" s="673"/>
      <c r="X5" s="673"/>
      <c r="Y5" s="673"/>
      <c r="Z5" s="673"/>
      <c r="AA5" s="673"/>
      <c r="AB5" s="673"/>
      <c r="AC5" s="673"/>
      <c r="AD5" s="673"/>
      <c r="AE5" s="673"/>
      <c r="AF5" s="673"/>
      <c r="AG5" s="673"/>
      <c r="AH5" s="673"/>
      <c r="AI5" s="673"/>
      <c r="AJ5" s="673"/>
      <c r="AK5" s="673"/>
      <c r="AL5" s="673"/>
      <c r="AM5" s="673"/>
      <c r="AN5" s="673"/>
      <c r="AO5" s="673"/>
      <c r="AP5" s="673"/>
      <c r="AQ5" s="673"/>
      <c r="AR5" s="673"/>
      <c r="AS5" s="673"/>
      <c r="AT5" s="673"/>
      <c r="AU5" s="673"/>
      <c r="AV5" s="673"/>
      <c r="AW5" s="673"/>
      <c r="AX5" s="673"/>
      <c r="AY5" s="673"/>
      <c r="AZ5" s="673"/>
      <c r="BA5" s="673"/>
      <c r="BB5" s="673"/>
      <c r="BC5" s="673"/>
      <c r="BD5" s="673"/>
      <c r="BE5" s="673"/>
      <c r="BF5" s="673"/>
      <c r="BG5" s="673"/>
      <c r="BH5" s="673"/>
      <c r="BI5" s="673"/>
      <c r="BJ5" s="673"/>
      <c r="BK5" s="673"/>
      <c r="BL5" s="673"/>
      <c r="BM5" s="673"/>
      <c r="BN5" s="673"/>
      <c r="BO5" s="673"/>
      <c r="BP5" s="673"/>
      <c r="BQ5" s="673"/>
      <c r="BR5" s="673"/>
      <c r="BS5" s="673"/>
      <c r="GC5" s="23">
        <v>26</v>
      </c>
    </row>
    <row r="6" spans="2:185" s="23" customFormat="1" ht="18.75" customHeight="1">
      <c r="B6" s="21"/>
      <c r="E6" s="11"/>
      <c r="F6" s="675" t="str">
        <f>IF(org=0,"Не определено",org)</f>
        <v>ООО "Восточная Тепловая компания"</v>
      </c>
      <c r="G6" s="676"/>
      <c r="H6" s="676"/>
      <c r="I6" s="676"/>
      <c r="J6" s="676"/>
      <c r="K6" s="676"/>
      <c r="L6" s="676"/>
      <c r="M6" s="676"/>
      <c r="N6" s="676"/>
      <c r="O6" s="676"/>
      <c r="P6" s="676"/>
      <c r="Q6" s="676"/>
      <c r="R6" s="676"/>
      <c r="S6" s="676"/>
      <c r="T6" s="676"/>
      <c r="U6" s="676"/>
      <c r="V6" s="676"/>
      <c r="W6" s="676"/>
      <c r="X6" s="676"/>
      <c r="Y6" s="676"/>
      <c r="Z6" s="676"/>
      <c r="AA6" s="676"/>
      <c r="AB6" s="676"/>
      <c r="AC6" s="676"/>
      <c r="AD6" s="676"/>
      <c r="AE6" s="676"/>
      <c r="AF6" s="676"/>
      <c r="AG6" s="676"/>
      <c r="AH6" s="676"/>
      <c r="AI6" s="676"/>
      <c r="AJ6" s="676"/>
      <c r="AK6" s="676"/>
      <c r="AL6" s="676"/>
      <c r="AM6" s="676"/>
      <c r="AN6" s="676"/>
      <c r="AO6" s="676"/>
      <c r="AP6" s="676"/>
      <c r="AQ6" s="676"/>
      <c r="AR6" s="676"/>
      <c r="AS6" s="676"/>
      <c r="AT6" s="676"/>
      <c r="AU6" s="676"/>
      <c r="AV6" s="676"/>
      <c r="AW6" s="676"/>
      <c r="AX6" s="676"/>
      <c r="AY6" s="676"/>
      <c r="AZ6" s="676"/>
      <c r="BA6" s="676"/>
      <c r="BB6" s="676"/>
      <c r="BC6" s="676"/>
      <c r="BD6" s="676"/>
      <c r="BE6" s="676"/>
      <c r="BF6" s="676"/>
      <c r="BG6" s="676"/>
      <c r="BH6" s="676"/>
      <c r="BI6" s="676"/>
      <c r="BJ6" s="676"/>
      <c r="BK6" s="676"/>
      <c r="BL6" s="676"/>
      <c r="BM6" s="676"/>
      <c r="BN6" s="676"/>
      <c r="BO6" s="676"/>
      <c r="BP6" s="676"/>
      <c r="BQ6" s="676"/>
      <c r="BR6" s="676"/>
      <c r="BS6" s="676"/>
      <c r="GC6" s="23">
        <v>18</v>
      </c>
    </row>
    <row r="7" spans="2:185" s="38" customFormat="1" ht="10.5" customHeight="1">
      <c r="B7" s="311"/>
      <c r="G7" s="39"/>
      <c r="H7" s="39"/>
      <c r="I7" s="39"/>
      <c r="J7" s="39"/>
      <c r="K7" s="39"/>
      <c r="L7" s="39"/>
      <c r="GC7" s="38">
        <v>10</v>
      </c>
    </row>
    <row r="8" spans="2:185" s="38" customFormat="1" ht="11.25" hidden="1" customHeight="1">
      <c r="B8" s="311"/>
      <c r="F8" s="23"/>
      <c r="G8" s="4"/>
      <c r="H8" s="4"/>
      <c r="I8" s="4"/>
      <c r="J8" s="4"/>
      <c r="K8" s="4"/>
      <c r="L8" s="4"/>
      <c r="M8" s="23"/>
      <c r="N8" s="23"/>
      <c r="O8" s="828" t="s">
        <v>1075</v>
      </c>
      <c r="P8" s="829"/>
      <c r="Q8" s="829"/>
      <c r="R8" s="829"/>
      <c r="S8" s="829"/>
      <c r="T8" s="829"/>
      <c r="U8" s="829"/>
      <c r="V8" s="829"/>
      <c r="W8" s="829"/>
      <c r="X8" s="829"/>
      <c r="Y8" s="829"/>
      <c r="Z8" s="829"/>
      <c r="AA8" s="829"/>
      <c r="AB8" s="829"/>
      <c r="AC8" s="829"/>
      <c r="AD8" s="829"/>
      <c r="AE8" s="829"/>
      <c r="AF8" s="829"/>
      <c r="AG8" s="829"/>
      <c r="AH8" s="829"/>
      <c r="AI8" s="829"/>
      <c r="AJ8" s="829"/>
      <c r="AK8" s="829"/>
      <c r="AL8" s="829"/>
      <c r="AM8" s="829"/>
      <c r="AN8" s="829"/>
      <c r="AO8" s="829"/>
      <c r="AP8" s="829"/>
      <c r="AQ8" s="829"/>
      <c r="AR8" s="829"/>
      <c r="AS8" s="829"/>
      <c r="AT8" s="829"/>
      <c r="AU8" s="829"/>
      <c r="AV8" s="829"/>
      <c r="AW8" s="829"/>
      <c r="AX8" s="829"/>
      <c r="AY8" s="829"/>
      <c r="AZ8" s="829"/>
      <c r="BA8" s="829"/>
      <c r="BB8" s="829"/>
      <c r="BC8" s="829"/>
      <c r="BD8" s="829"/>
      <c r="BE8" s="829"/>
      <c r="BF8" s="829"/>
      <c r="BG8" s="829"/>
      <c r="BH8" s="829"/>
      <c r="BI8" s="829"/>
      <c r="BJ8" s="829"/>
      <c r="BK8" s="829"/>
      <c r="BL8" s="829"/>
      <c r="BM8" s="829"/>
      <c r="BN8" s="829"/>
      <c r="BO8" s="829"/>
      <c r="BP8" s="829"/>
      <c r="BQ8" s="829"/>
      <c r="BR8" s="829"/>
      <c r="BS8" s="830"/>
      <c r="BT8" s="831"/>
      <c r="BU8" s="832"/>
      <c r="BV8" s="832"/>
      <c r="BW8" s="832"/>
      <c r="BX8" s="832"/>
      <c r="BY8" s="832"/>
      <c r="BZ8" s="832"/>
      <c r="CA8" s="832"/>
      <c r="CB8" s="832"/>
      <c r="CC8" s="832"/>
      <c r="CD8" s="832"/>
      <c r="CE8" s="832"/>
      <c r="CF8" s="832"/>
      <c r="CG8" s="832"/>
      <c r="CH8" s="832"/>
      <c r="CI8" s="832"/>
      <c r="CJ8" s="832"/>
      <c r="CK8" s="832"/>
      <c r="CL8" s="832"/>
      <c r="CM8" s="832"/>
      <c r="CN8" s="832"/>
      <c r="CO8" s="832"/>
      <c r="CP8" s="832"/>
      <c r="CQ8" s="832"/>
      <c r="CR8" s="832"/>
      <c r="CS8" s="832"/>
      <c r="CT8" s="832"/>
      <c r="CU8" s="832"/>
      <c r="CV8" s="832"/>
      <c r="CW8" s="832"/>
      <c r="CX8" s="833"/>
      <c r="CY8" s="834"/>
      <c r="CZ8" s="835"/>
      <c r="DA8" s="835"/>
      <c r="DB8" s="835"/>
      <c r="DC8" s="835"/>
      <c r="DD8" s="835"/>
      <c r="DE8" s="835"/>
      <c r="DF8" s="835"/>
      <c r="DG8" s="835"/>
      <c r="DH8" s="835"/>
      <c r="DI8" s="835"/>
      <c r="DJ8" s="835"/>
      <c r="DK8" s="835"/>
      <c r="DL8" s="835"/>
      <c r="DM8" s="835"/>
      <c r="DN8" s="835"/>
      <c r="DO8" s="835"/>
      <c r="DP8" s="835"/>
      <c r="DQ8" s="835"/>
      <c r="DR8" s="835"/>
      <c r="DS8" s="835"/>
      <c r="DT8" s="835"/>
      <c r="DU8" s="835"/>
      <c r="DV8" s="835"/>
      <c r="DW8" s="835"/>
      <c r="DX8" s="836"/>
      <c r="DY8" s="822" t="s">
        <v>1076</v>
      </c>
      <c r="DZ8" s="823"/>
      <c r="EA8" s="823"/>
      <c r="EB8" s="823"/>
      <c r="EC8" s="823"/>
      <c r="ED8" s="823"/>
      <c r="EE8" s="823"/>
      <c r="EF8" s="823"/>
      <c r="EG8" s="823"/>
      <c r="EH8" s="823"/>
      <c r="EI8" s="823"/>
      <c r="EJ8" s="823"/>
      <c r="EK8" s="823"/>
      <c r="EL8" s="823"/>
      <c r="EM8" s="823"/>
      <c r="EN8" s="823"/>
      <c r="EO8" s="823"/>
      <c r="EP8" s="823"/>
      <c r="EQ8" s="823"/>
      <c r="ER8" s="823"/>
      <c r="ES8" s="823"/>
      <c r="ET8" s="823"/>
      <c r="EU8" s="823"/>
      <c r="EV8" s="823"/>
      <c r="EW8" s="823"/>
      <c r="EX8" s="823"/>
      <c r="EY8" s="823"/>
      <c r="EZ8" s="823"/>
      <c r="FA8" s="823"/>
      <c r="FB8" s="823"/>
      <c r="FC8" s="823"/>
      <c r="FD8" s="823"/>
      <c r="FE8" s="823"/>
      <c r="FF8" s="823"/>
      <c r="FG8" s="823"/>
      <c r="FH8" s="823"/>
      <c r="FI8" s="823"/>
      <c r="FJ8" s="823"/>
      <c r="FK8" s="823"/>
      <c r="FL8" s="823"/>
      <c r="FM8" s="823"/>
      <c r="FN8" s="823"/>
      <c r="FO8" s="823"/>
      <c r="FP8" s="823"/>
      <c r="FQ8" s="823"/>
      <c r="FR8" s="823"/>
      <c r="FS8" s="823"/>
      <c r="FT8" s="823"/>
      <c r="FU8" s="823"/>
      <c r="FV8" s="823"/>
      <c r="FW8" s="824"/>
      <c r="FX8" s="23"/>
      <c r="GC8" s="38">
        <v>0</v>
      </c>
    </row>
    <row r="9" spans="2:185" s="38" customFormat="1" ht="11.25" hidden="1" customHeight="1">
      <c r="B9" s="311"/>
      <c r="F9" s="23"/>
      <c r="G9" s="4"/>
      <c r="H9" s="4"/>
      <c r="I9" s="4"/>
      <c r="J9" s="4"/>
      <c r="K9" s="4"/>
      <c r="L9" s="4"/>
      <c r="M9" s="23"/>
      <c r="N9" s="23"/>
      <c r="O9" s="23"/>
      <c r="P9" s="23"/>
      <c r="Q9" s="23"/>
      <c r="R9" s="23"/>
      <c r="S9" s="23"/>
      <c r="T9" s="23"/>
      <c r="U9" s="23"/>
      <c r="V9" s="23"/>
      <c r="W9" s="23"/>
      <c r="X9" s="23"/>
      <c r="Y9" s="23"/>
      <c r="Z9" s="23"/>
      <c r="AA9" s="23"/>
      <c r="AB9" s="23"/>
      <c r="AC9" s="23"/>
      <c r="AD9" s="23"/>
      <c r="AE9" s="23"/>
      <c r="AF9" s="23"/>
      <c r="AG9" s="23"/>
      <c r="AH9" s="23"/>
      <c r="AI9" s="23"/>
      <c r="AJ9" s="23"/>
      <c r="AK9" s="23"/>
      <c r="AL9" s="23"/>
      <c r="AM9" s="23"/>
      <c r="AN9" s="23"/>
      <c r="AO9" s="23"/>
      <c r="AP9" s="23"/>
      <c r="AQ9" s="23"/>
      <c r="AR9" s="23"/>
      <c r="AS9" s="23"/>
      <c r="AT9" s="23"/>
      <c r="AU9" s="23"/>
      <c r="AV9" s="23"/>
      <c r="AW9" s="23"/>
      <c r="AX9" s="23"/>
      <c r="AY9" s="23"/>
      <c r="AZ9" s="23"/>
      <c r="BA9" s="23"/>
      <c r="BB9" s="23"/>
      <c r="BC9" s="23"/>
      <c r="BD9" s="23"/>
      <c r="BE9" s="23"/>
      <c r="BF9" s="23"/>
      <c r="BG9" s="23"/>
      <c r="BH9" s="23"/>
      <c r="BI9" s="23"/>
      <c r="BJ9" s="23"/>
      <c r="BK9" s="23"/>
      <c r="BL9" s="23"/>
      <c r="BM9" s="23"/>
      <c r="BN9" s="23"/>
      <c r="BO9" s="23"/>
      <c r="BP9" s="23"/>
      <c r="BQ9" s="23"/>
      <c r="BR9" s="23"/>
      <c r="BS9" s="23"/>
      <c r="BT9" s="23"/>
      <c r="BU9" s="23"/>
      <c r="BV9" s="23"/>
      <c r="BW9" s="23"/>
      <c r="BX9" s="23"/>
      <c r="BY9" s="23"/>
      <c r="BZ9" s="23"/>
      <c r="CA9" s="23"/>
      <c r="CB9" s="23"/>
      <c r="CC9" s="23"/>
      <c r="CD9" s="23"/>
      <c r="CE9" s="23"/>
      <c r="CF9" s="23"/>
      <c r="CG9" s="23"/>
      <c r="CH9" s="23"/>
      <c r="CI9" s="23"/>
      <c r="CJ9" s="23"/>
      <c r="CK9" s="23"/>
      <c r="CL9" s="23"/>
      <c r="CM9" s="23"/>
      <c r="CN9" s="23"/>
      <c r="CO9" s="23"/>
      <c r="CP9" s="23"/>
      <c r="CQ9" s="23"/>
      <c r="CR9" s="23"/>
      <c r="CS9" s="23"/>
      <c r="CT9" s="23"/>
      <c r="CU9" s="23"/>
      <c r="CV9" s="23"/>
      <c r="CW9" s="23"/>
      <c r="CX9" s="23"/>
      <c r="CY9" s="23"/>
      <c r="CZ9" s="23"/>
      <c r="DA9" s="23"/>
      <c r="DB9" s="23"/>
      <c r="DC9" s="23"/>
      <c r="DD9" s="23"/>
      <c r="DE9" s="23"/>
      <c r="DF9" s="23"/>
      <c r="DG9" s="23"/>
      <c r="DH9" s="23"/>
      <c r="DI9" s="23"/>
      <c r="DJ9" s="23"/>
      <c r="DK9" s="23"/>
      <c r="DL9" s="23"/>
      <c r="DM9" s="23"/>
      <c r="DN9" s="23"/>
      <c r="DO9" s="23"/>
      <c r="DP9" s="23"/>
      <c r="DQ9" s="23"/>
      <c r="DR9" s="23"/>
      <c r="DS9" s="23"/>
      <c r="DT9" s="23"/>
      <c r="DU9" s="23"/>
      <c r="DV9" s="23"/>
      <c r="DW9" s="23"/>
      <c r="DX9" s="23"/>
      <c r="DY9" s="23"/>
      <c r="DZ9" s="23"/>
      <c r="EA9" s="23"/>
      <c r="EB9" s="23"/>
      <c r="EC9" s="23"/>
      <c r="ED9" s="23"/>
      <c r="EE9" s="23"/>
      <c r="EF9" s="23"/>
      <c r="EG9" s="23"/>
      <c r="EH9" s="23"/>
      <c r="EI9" s="23"/>
      <c r="EJ9" s="23"/>
      <c r="EK9" s="23"/>
      <c r="EL9" s="23"/>
      <c r="EM9" s="23"/>
      <c r="EN9" s="23"/>
      <c r="EO9" s="23"/>
      <c r="EP9" s="23"/>
      <c r="EQ9" s="23"/>
      <c r="ER9" s="23"/>
      <c r="ES9" s="23"/>
      <c r="ET9" s="23"/>
      <c r="EU9" s="23"/>
      <c r="EV9" s="23"/>
      <c r="EW9" s="23"/>
      <c r="EX9" s="23"/>
      <c r="EY9" s="23"/>
      <c r="EZ9" s="23"/>
      <c r="FA9" s="23"/>
      <c r="FB9" s="23"/>
      <c r="FC9" s="23"/>
      <c r="FD9" s="23"/>
      <c r="FE9" s="23"/>
      <c r="FF9" s="23"/>
      <c r="FG9" s="23"/>
      <c r="FH9" s="23"/>
      <c r="FI9" s="23"/>
      <c r="FJ9" s="23"/>
      <c r="FK9" s="23"/>
      <c r="FL9" s="23"/>
      <c r="FM9" s="23"/>
      <c r="FN9" s="23"/>
      <c r="FO9" s="23"/>
      <c r="FP9" s="23"/>
      <c r="FQ9" s="23"/>
      <c r="FR9" s="23"/>
      <c r="FS9" s="23"/>
      <c r="FT9" s="23"/>
      <c r="FU9" s="23"/>
      <c r="FV9" s="23"/>
      <c r="FW9" s="825"/>
      <c r="FX9" s="23"/>
      <c r="GC9" s="38">
        <v>0</v>
      </c>
    </row>
    <row r="10" spans="2:185" s="38" customFormat="1" ht="11.45" customHeight="1">
      <c r="B10" s="311"/>
      <c r="F10" s="662" t="s">
        <v>303</v>
      </c>
      <c r="G10" s="666"/>
      <c r="H10" s="666"/>
      <c r="I10" s="666"/>
      <c r="J10" s="666"/>
      <c r="K10" s="666"/>
      <c r="L10" s="666"/>
      <c r="M10" s="666"/>
      <c r="N10" s="666"/>
      <c r="O10" s="666"/>
      <c r="P10" s="666"/>
      <c r="Q10" s="666"/>
      <c r="R10" s="666"/>
      <c r="S10" s="666"/>
      <c r="T10" s="666"/>
      <c r="U10" s="666"/>
      <c r="V10" s="666"/>
      <c r="W10" s="666"/>
      <c r="X10" s="666"/>
      <c r="Y10" s="666"/>
      <c r="Z10" s="666"/>
      <c r="AA10" s="666"/>
      <c r="AB10" s="666"/>
      <c r="AC10" s="666"/>
      <c r="AD10" s="666"/>
      <c r="AE10" s="666"/>
      <c r="AF10" s="666"/>
      <c r="AG10" s="666"/>
      <c r="AH10" s="666"/>
      <c r="AI10" s="666"/>
      <c r="AJ10" s="666"/>
      <c r="AK10" s="666"/>
      <c r="AL10" s="666"/>
      <c r="AM10" s="666"/>
      <c r="AN10" s="666"/>
      <c r="AO10" s="666"/>
      <c r="AP10" s="666"/>
      <c r="AQ10" s="666"/>
      <c r="AR10" s="666"/>
      <c r="AS10" s="666"/>
      <c r="AT10" s="666"/>
      <c r="AU10" s="666"/>
      <c r="AV10" s="666"/>
      <c r="AW10" s="666"/>
      <c r="AX10" s="666"/>
      <c r="AY10" s="666"/>
      <c r="AZ10" s="666"/>
      <c r="BA10" s="666"/>
      <c r="BB10" s="666"/>
      <c r="BC10" s="666"/>
      <c r="BD10" s="666"/>
      <c r="BE10" s="666"/>
      <c r="BF10" s="666"/>
      <c r="BG10" s="666"/>
      <c r="BH10" s="666"/>
      <c r="BI10" s="666"/>
      <c r="BJ10" s="666"/>
      <c r="BK10" s="666"/>
      <c r="BL10" s="666"/>
      <c r="BM10" s="666"/>
      <c r="BN10" s="666"/>
      <c r="BO10" s="666"/>
      <c r="BP10" s="666"/>
      <c r="BQ10" s="666"/>
      <c r="BR10" s="666"/>
      <c r="BS10" s="666"/>
      <c r="BT10" s="666"/>
      <c r="BU10" s="666"/>
      <c r="BV10" s="666"/>
      <c r="BW10" s="666"/>
      <c r="BX10" s="666"/>
      <c r="BY10" s="666"/>
      <c r="BZ10" s="666"/>
      <c r="CA10" s="666"/>
      <c r="CB10" s="666"/>
      <c r="CC10" s="666"/>
      <c r="CD10" s="666"/>
      <c r="CE10" s="666"/>
      <c r="CF10" s="666"/>
      <c r="CG10" s="666"/>
      <c r="CH10" s="666"/>
      <c r="CI10" s="666"/>
      <c r="CJ10" s="666"/>
      <c r="CK10" s="666"/>
      <c r="CL10" s="666"/>
      <c r="CM10" s="666"/>
      <c r="CN10" s="666"/>
      <c r="CO10" s="666"/>
      <c r="CP10" s="666"/>
      <c r="CQ10" s="666"/>
      <c r="CR10" s="666"/>
      <c r="CS10" s="666"/>
      <c r="CT10" s="666"/>
      <c r="CU10" s="666"/>
      <c r="CV10" s="666"/>
      <c r="CW10" s="666"/>
      <c r="CX10" s="666"/>
      <c r="CY10" s="666"/>
      <c r="CZ10" s="666"/>
      <c r="DA10" s="666"/>
      <c r="DB10" s="666"/>
      <c r="DC10" s="666"/>
      <c r="DD10" s="666"/>
      <c r="DE10" s="666"/>
      <c r="DF10" s="666"/>
      <c r="DG10" s="666"/>
      <c r="DH10" s="666"/>
      <c r="DI10" s="666"/>
      <c r="DJ10" s="666"/>
      <c r="DK10" s="666"/>
      <c r="DL10" s="666"/>
      <c r="DM10" s="666"/>
      <c r="DN10" s="666"/>
      <c r="DO10" s="666"/>
      <c r="DP10" s="666"/>
      <c r="DQ10" s="666"/>
      <c r="DR10" s="666"/>
      <c r="DS10" s="666"/>
      <c r="DT10" s="666"/>
      <c r="DU10" s="666"/>
      <c r="DV10" s="666"/>
      <c r="DW10" s="666"/>
      <c r="DX10" s="666"/>
      <c r="DY10" s="666"/>
      <c r="DZ10" s="666"/>
      <c r="EA10" s="666"/>
      <c r="EB10" s="666"/>
      <c r="EC10" s="666"/>
      <c r="ED10" s="666"/>
      <c r="EE10" s="666"/>
      <c r="EF10" s="666"/>
      <c r="EG10" s="666"/>
      <c r="EH10" s="666"/>
      <c r="EI10" s="666"/>
      <c r="EJ10" s="666"/>
      <c r="EK10" s="666"/>
      <c r="EL10" s="666"/>
      <c r="EM10" s="666"/>
      <c r="EN10" s="666"/>
      <c r="EO10" s="666"/>
      <c r="EP10" s="666"/>
      <c r="EQ10" s="666"/>
      <c r="ER10" s="666"/>
      <c r="ES10" s="666"/>
      <c r="ET10" s="666"/>
      <c r="EU10" s="666"/>
      <c r="EV10" s="666"/>
      <c r="EW10" s="666"/>
      <c r="EX10" s="666"/>
      <c r="EY10" s="666"/>
      <c r="EZ10" s="666"/>
      <c r="FA10" s="666"/>
      <c r="FB10" s="666"/>
      <c r="FC10" s="666"/>
      <c r="FD10" s="666"/>
      <c r="FE10" s="666"/>
      <c r="FF10" s="666"/>
      <c r="FG10" s="666"/>
      <c r="FH10" s="666"/>
      <c r="FI10" s="666"/>
      <c r="FJ10" s="666"/>
      <c r="FK10" s="666"/>
      <c r="FL10" s="666"/>
      <c r="FM10" s="666"/>
      <c r="FN10" s="666"/>
      <c r="FO10" s="666"/>
      <c r="FP10" s="666"/>
      <c r="FQ10" s="666"/>
      <c r="FR10" s="666"/>
      <c r="FS10" s="666"/>
      <c r="FT10" s="666"/>
      <c r="FU10" s="666"/>
      <c r="FV10" s="661"/>
      <c r="FW10" s="825"/>
      <c r="FX10" s="23"/>
      <c r="GC10" s="38">
        <v>11</v>
      </c>
    </row>
    <row r="11" spans="2:185" ht="12.75" customHeight="1">
      <c r="E11" s="312"/>
      <c r="F11" s="722" t="s">
        <v>88</v>
      </c>
      <c r="G11" s="722" t="s">
        <v>1077</v>
      </c>
      <c r="H11" s="722" t="s">
        <v>1078</v>
      </c>
      <c r="I11" s="722" t="s">
        <v>1079</v>
      </c>
      <c r="J11" s="820"/>
      <c r="K11" s="820"/>
      <c r="L11" s="820"/>
      <c r="M11" s="820"/>
      <c r="N11" s="820"/>
      <c r="O11" s="722" t="s">
        <v>1080</v>
      </c>
      <c r="P11" s="722"/>
      <c r="Q11" s="722"/>
      <c r="R11" s="722"/>
      <c r="S11" s="722"/>
      <c r="T11" s="722"/>
      <c r="U11" s="722"/>
      <c r="V11" s="722"/>
      <c r="W11" s="722"/>
      <c r="X11" s="722"/>
      <c r="Y11" s="722"/>
      <c r="Z11" s="722"/>
      <c r="AA11" s="722"/>
      <c r="AB11" s="722"/>
      <c r="AC11" s="820"/>
      <c r="AD11" s="820"/>
      <c r="AE11" s="820"/>
      <c r="AF11" s="820"/>
      <c r="AG11" s="820"/>
      <c r="AH11" s="820"/>
      <c r="AI11" s="820"/>
      <c r="AJ11" s="820"/>
      <c r="AK11" s="820"/>
      <c r="AL11" s="820"/>
      <c r="AM11" s="820"/>
      <c r="AN11" s="820"/>
      <c r="AO11" s="820"/>
      <c r="AP11" s="820"/>
      <c r="AQ11" s="820"/>
      <c r="AR11" s="820"/>
      <c r="AS11" s="820"/>
      <c r="AT11" s="820"/>
      <c r="AU11" s="820"/>
      <c r="AV11" s="820"/>
      <c r="AW11" s="820"/>
      <c r="AX11" s="820"/>
      <c r="AY11" s="820"/>
      <c r="AZ11" s="820"/>
      <c r="BA11" s="820"/>
      <c r="BB11" s="820"/>
      <c r="BC11" s="820"/>
      <c r="BD11" s="820"/>
      <c r="BE11" s="820"/>
      <c r="BF11" s="820"/>
      <c r="BG11" s="820"/>
      <c r="BH11" s="820"/>
      <c r="BI11" s="820"/>
      <c r="BJ11" s="820"/>
      <c r="BK11" s="820"/>
      <c r="BL11" s="820"/>
      <c r="BM11" s="820"/>
      <c r="BN11" s="820"/>
      <c r="BO11" s="820"/>
      <c r="BP11" s="820"/>
      <c r="BQ11" s="820"/>
      <c r="BR11" s="820"/>
      <c r="BS11" s="821"/>
      <c r="BT11" s="809" t="s">
        <v>1080</v>
      </c>
      <c r="BU11" s="810"/>
      <c r="BV11" s="810"/>
      <c r="BW11" s="810"/>
      <c r="BX11" s="810"/>
      <c r="BY11" s="810"/>
      <c r="BZ11" s="810"/>
      <c r="CA11" s="810"/>
      <c r="CB11" s="810"/>
      <c r="CC11" s="810"/>
      <c r="CD11" s="810"/>
      <c r="CE11" s="810"/>
      <c r="CF11" s="810"/>
      <c r="CG11" s="810"/>
      <c r="CH11" s="810"/>
      <c r="CI11" s="810"/>
      <c r="CJ11" s="810"/>
      <c r="CK11" s="819"/>
      <c r="CL11" s="827"/>
      <c r="CM11" s="820"/>
      <c r="CN11" s="820"/>
      <c r="CO11" s="820"/>
      <c r="CP11" s="820"/>
      <c r="CQ11" s="820"/>
      <c r="CR11" s="820"/>
      <c r="CS11" s="820"/>
      <c r="CT11" s="820"/>
      <c r="CU11" s="820"/>
      <c r="CV11" s="820"/>
      <c r="CW11" s="820"/>
      <c r="CX11" s="821"/>
      <c r="CY11" s="809" t="s">
        <v>1080</v>
      </c>
      <c r="CZ11" s="810"/>
      <c r="DA11" s="810"/>
      <c r="DB11" s="810"/>
      <c r="DC11" s="810"/>
      <c r="DD11" s="810"/>
      <c r="DE11" s="810"/>
      <c r="DF11" s="810"/>
      <c r="DG11" s="810"/>
      <c r="DH11" s="810"/>
      <c r="DI11" s="810"/>
      <c r="DJ11" s="819"/>
      <c r="DK11" s="827"/>
      <c r="DL11" s="820"/>
      <c r="DM11" s="820"/>
      <c r="DN11" s="820"/>
      <c r="DO11" s="820"/>
      <c r="DP11" s="820"/>
      <c r="DQ11" s="820"/>
      <c r="DR11" s="820"/>
      <c r="DS11" s="820"/>
      <c r="DT11" s="820"/>
      <c r="DU11" s="820"/>
      <c r="DV11" s="820"/>
      <c r="DW11" s="820"/>
      <c r="DX11" s="820"/>
      <c r="DY11" s="820"/>
      <c r="DZ11" s="820"/>
      <c r="EA11" s="820"/>
      <c r="EB11" s="820"/>
      <c r="EC11" s="820"/>
      <c r="ED11" s="820"/>
      <c r="EE11" s="820"/>
      <c r="EF11" s="820"/>
      <c r="EG11" s="820"/>
      <c r="EH11" s="820"/>
      <c r="EI11" s="820"/>
      <c r="EJ11" s="820"/>
      <c r="EK11" s="820"/>
      <c r="EL11" s="820"/>
      <c r="EM11" s="820"/>
      <c r="EN11" s="820"/>
      <c r="EO11" s="820"/>
      <c r="EP11" s="820"/>
      <c r="EQ11" s="820"/>
      <c r="ER11" s="820"/>
      <c r="ES11" s="820"/>
      <c r="ET11" s="820"/>
      <c r="EU11" s="820"/>
      <c r="EV11" s="820"/>
      <c r="EW11" s="820"/>
      <c r="EX11" s="820"/>
      <c r="EY11" s="820"/>
      <c r="EZ11" s="820"/>
      <c r="FA11" s="820"/>
      <c r="FB11" s="820"/>
      <c r="FC11" s="820"/>
      <c r="FD11" s="820"/>
      <c r="FE11" s="820"/>
      <c r="FF11" s="820"/>
      <c r="FG11" s="820"/>
      <c r="FH11" s="820"/>
      <c r="FI11" s="820"/>
      <c r="FJ11" s="820"/>
      <c r="FK11" s="820"/>
      <c r="FL11" s="820"/>
      <c r="FM11" s="820"/>
      <c r="FN11" s="820"/>
      <c r="FO11" s="820"/>
      <c r="FP11" s="820"/>
      <c r="FQ11" s="820"/>
      <c r="FR11" s="820"/>
      <c r="FS11" s="820"/>
      <c r="FT11" s="820"/>
      <c r="FU11" s="820"/>
      <c r="FV11" s="820"/>
      <c r="FW11" s="825"/>
      <c r="FX11" s="23"/>
      <c r="GC11" s="38">
        <v>12</v>
      </c>
    </row>
    <row r="12" spans="2:185" ht="12.75" customHeight="1">
      <c r="D12" s="39"/>
      <c r="E12" s="312"/>
      <c r="F12" s="722"/>
      <c r="G12" s="722"/>
      <c r="H12" s="722"/>
      <c r="I12" s="722"/>
      <c r="J12" s="820"/>
      <c r="K12" s="820"/>
      <c r="L12" s="820"/>
      <c r="M12" s="820"/>
      <c r="N12" s="820"/>
      <c r="O12" s="722" t="s">
        <v>1081</v>
      </c>
      <c r="P12" s="722"/>
      <c r="Q12" s="722"/>
      <c r="R12" s="722"/>
      <c r="S12" s="722" t="s">
        <v>1082</v>
      </c>
      <c r="T12" s="722"/>
      <c r="U12" s="722"/>
      <c r="V12" s="722"/>
      <c r="W12" s="722"/>
      <c r="X12" s="722"/>
      <c r="Y12" s="722"/>
      <c r="Z12" s="722"/>
      <c r="AA12" s="722"/>
      <c r="AB12" s="722"/>
      <c r="AC12" s="820"/>
      <c r="AD12" s="820"/>
      <c r="AE12" s="820"/>
      <c r="AF12" s="820"/>
      <c r="AG12" s="820"/>
      <c r="AH12" s="820"/>
      <c r="AI12" s="820"/>
      <c r="AJ12" s="820"/>
      <c r="AK12" s="820"/>
      <c r="AL12" s="820"/>
      <c r="AM12" s="820"/>
      <c r="AN12" s="820"/>
      <c r="AO12" s="820"/>
      <c r="AP12" s="820"/>
      <c r="AQ12" s="820"/>
      <c r="AR12" s="820"/>
      <c r="AS12" s="820"/>
      <c r="AT12" s="820"/>
      <c r="AU12" s="820"/>
      <c r="AV12" s="820"/>
      <c r="AW12" s="820"/>
      <c r="AX12" s="820"/>
      <c r="AY12" s="820"/>
      <c r="AZ12" s="820"/>
      <c r="BA12" s="820"/>
      <c r="BB12" s="820"/>
      <c r="BC12" s="820"/>
      <c r="BD12" s="820"/>
      <c r="BE12" s="820"/>
      <c r="BF12" s="820"/>
      <c r="BG12" s="820"/>
      <c r="BH12" s="820"/>
      <c r="BI12" s="820"/>
      <c r="BJ12" s="820"/>
      <c r="BK12" s="820"/>
      <c r="BL12" s="820"/>
      <c r="BM12" s="820"/>
      <c r="BN12" s="820"/>
      <c r="BO12" s="820"/>
      <c r="BP12" s="820"/>
      <c r="BQ12" s="820"/>
      <c r="BR12" s="820"/>
      <c r="BS12" s="821"/>
      <c r="BT12" s="809" t="s">
        <v>1083</v>
      </c>
      <c r="BU12" s="810"/>
      <c r="BV12" s="810"/>
      <c r="BW12" s="819"/>
      <c r="BX12" s="809" t="s">
        <v>1084</v>
      </c>
      <c r="BY12" s="810"/>
      <c r="BZ12" s="810"/>
      <c r="CA12" s="819"/>
      <c r="CB12" s="809" t="s">
        <v>1085</v>
      </c>
      <c r="CC12" s="819"/>
      <c r="CD12" s="809" t="s">
        <v>1086</v>
      </c>
      <c r="CE12" s="810"/>
      <c r="CF12" s="810"/>
      <c r="CG12" s="810"/>
      <c r="CH12" s="810"/>
      <c r="CI12" s="810"/>
      <c r="CJ12" s="810"/>
      <c r="CK12" s="819"/>
      <c r="CL12" s="827"/>
      <c r="CM12" s="820"/>
      <c r="CN12" s="820"/>
      <c r="CO12" s="820"/>
      <c r="CP12" s="820"/>
      <c r="CQ12" s="820"/>
      <c r="CR12" s="820"/>
      <c r="CS12" s="820"/>
      <c r="CT12" s="820"/>
      <c r="CU12" s="820"/>
      <c r="CV12" s="820"/>
      <c r="CW12" s="820"/>
      <c r="CX12" s="821"/>
      <c r="CY12" s="809" t="s">
        <v>1087</v>
      </c>
      <c r="CZ12" s="810"/>
      <c r="DA12" s="810"/>
      <c r="DB12" s="810"/>
      <c r="DC12" s="810"/>
      <c r="DD12" s="819"/>
      <c r="DE12" s="809" t="s">
        <v>1088</v>
      </c>
      <c r="DF12" s="819"/>
      <c r="DG12" s="809" t="s">
        <v>1086</v>
      </c>
      <c r="DH12" s="810"/>
      <c r="DI12" s="810"/>
      <c r="DJ12" s="819"/>
      <c r="DK12" s="827"/>
      <c r="DL12" s="820"/>
      <c r="DM12" s="820"/>
      <c r="DN12" s="820"/>
      <c r="DO12" s="820"/>
      <c r="DP12" s="820"/>
      <c r="DQ12" s="820"/>
      <c r="DR12" s="820"/>
      <c r="DS12" s="820"/>
      <c r="DT12" s="820"/>
      <c r="DU12" s="820"/>
      <c r="DV12" s="820"/>
      <c r="DW12" s="820"/>
      <c r="DX12" s="820"/>
      <c r="DY12" s="820"/>
      <c r="DZ12" s="820"/>
      <c r="EA12" s="820"/>
      <c r="EB12" s="820"/>
      <c r="EC12" s="820"/>
      <c r="ED12" s="820"/>
      <c r="EE12" s="820"/>
      <c r="EF12" s="820"/>
      <c r="EG12" s="820"/>
      <c r="EH12" s="820"/>
      <c r="EI12" s="820"/>
      <c r="EJ12" s="820"/>
      <c r="EK12" s="820"/>
      <c r="EL12" s="820"/>
      <c r="EM12" s="820"/>
      <c r="EN12" s="820"/>
      <c r="EO12" s="820"/>
      <c r="EP12" s="820"/>
      <c r="EQ12" s="820"/>
      <c r="ER12" s="820"/>
      <c r="ES12" s="820"/>
      <c r="ET12" s="820"/>
      <c r="EU12" s="820"/>
      <c r="EV12" s="820"/>
      <c r="EW12" s="820"/>
      <c r="EX12" s="820"/>
      <c r="EY12" s="820"/>
      <c r="EZ12" s="820"/>
      <c r="FA12" s="820"/>
      <c r="FB12" s="820"/>
      <c r="FC12" s="820"/>
      <c r="FD12" s="820"/>
      <c r="FE12" s="820"/>
      <c r="FF12" s="820"/>
      <c r="FG12" s="820"/>
      <c r="FH12" s="820"/>
      <c r="FI12" s="820"/>
      <c r="FJ12" s="820"/>
      <c r="FK12" s="820"/>
      <c r="FL12" s="820"/>
      <c r="FM12" s="820"/>
      <c r="FN12" s="820"/>
      <c r="FO12" s="820"/>
      <c r="FP12" s="820"/>
      <c r="FQ12" s="820"/>
      <c r="FR12" s="820"/>
      <c r="FS12" s="820"/>
      <c r="FT12" s="820"/>
      <c r="FU12" s="820"/>
      <c r="FV12" s="820"/>
      <c r="FW12" s="825"/>
      <c r="FX12" s="23"/>
      <c r="GC12" s="38">
        <v>12</v>
      </c>
    </row>
    <row r="13" spans="2:185" ht="37.9" customHeight="1">
      <c r="D13" s="39"/>
      <c r="E13" s="312"/>
      <c r="F13" s="722"/>
      <c r="G13" s="722"/>
      <c r="H13" s="722"/>
      <c r="I13" s="722"/>
      <c r="J13" s="820"/>
      <c r="K13" s="820"/>
      <c r="L13" s="820"/>
      <c r="M13" s="820"/>
      <c r="N13" s="820"/>
      <c r="O13" s="722" t="s">
        <v>1089</v>
      </c>
      <c r="P13" s="722"/>
      <c r="Q13" s="722"/>
      <c r="R13" s="722"/>
      <c r="S13" s="790" t="s">
        <v>1090</v>
      </c>
      <c r="T13" s="811"/>
      <c r="U13" s="679" t="s">
        <v>1091</v>
      </c>
      <c r="V13" s="679"/>
      <c r="W13" s="679"/>
      <c r="X13" s="679"/>
      <c r="Y13" s="679" t="s">
        <v>1092</v>
      </c>
      <c r="Z13" s="679"/>
      <c r="AA13" s="679"/>
      <c r="AB13" s="679"/>
      <c r="AC13" s="820"/>
      <c r="AD13" s="820"/>
      <c r="AE13" s="820"/>
      <c r="AF13" s="820"/>
      <c r="AG13" s="820"/>
      <c r="AH13" s="820"/>
      <c r="AI13" s="820"/>
      <c r="AJ13" s="820"/>
      <c r="AK13" s="820"/>
      <c r="AL13" s="820"/>
      <c r="AM13" s="820"/>
      <c r="AN13" s="820"/>
      <c r="AO13" s="820"/>
      <c r="AP13" s="820"/>
      <c r="AQ13" s="820"/>
      <c r="AR13" s="820"/>
      <c r="AS13" s="820"/>
      <c r="AT13" s="820"/>
      <c r="AU13" s="820"/>
      <c r="AV13" s="820"/>
      <c r="AW13" s="820"/>
      <c r="AX13" s="820"/>
      <c r="AY13" s="820"/>
      <c r="AZ13" s="820"/>
      <c r="BA13" s="820"/>
      <c r="BB13" s="820"/>
      <c r="BC13" s="820"/>
      <c r="BD13" s="820"/>
      <c r="BE13" s="820"/>
      <c r="BF13" s="820"/>
      <c r="BG13" s="820"/>
      <c r="BH13" s="820"/>
      <c r="BI13" s="820"/>
      <c r="BJ13" s="820"/>
      <c r="BK13" s="820"/>
      <c r="BL13" s="820"/>
      <c r="BM13" s="820"/>
      <c r="BN13" s="820"/>
      <c r="BO13" s="820"/>
      <c r="BP13" s="820"/>
      <c r="BQ13" s="820"/>
      <c r="BR13" s="820"/>
      <c r="BS13" s="821"/>
      <c r="BT13" s="790" t="s">
        <v>1093</v>
      </c>
      <c r="BU13" s="811"/>
      <c r="BV13" s="790" t="s">
        <v>1094</v>
      </c>
      <c r="BW13" s="811"/>
      <c r="BX13" s="790" t="s">
        <v>1095</v>
      </c>
      <c r="BY13" s="811"/>
      <c r="BZ13" s="790" t="s">
        <v>1096</v>
      </c>
      <c r="CA13" s="811"/>
      <c r="CB13" s="790" t="s">
        <v>1097</v>
      </c>
      <c r="CC13" s="811"/>
      <c r="CD13" s="790" t="s">
        <v>1098</v>
      </c>
      <c r="CE13" s="811"/>
      <c r="CF13" s="790" t="s">
        <v>1099</v>
      </c>
      <c r="CG13" s="811"/>
      <c r="CH13" s="809" t="s">
        <v>1100</v>
      </c>
      <c r="CI13" s="810"/>
      <c r="CJ13" s="810"/>
      <c r="CK13" s="819"/>
      <c r="CL13" s="827"/>
      <c r="CM13" s="820"/>
      <c r="CN13" s="820"/>
      <c r="CO13" s="820"/>
      <c r="CP13" s="820"/>
      <c r="CQ13" s="820"/>
      <c r="CR13" s="820"/>
      <c r="CS13" s="820"/>
      <c r="CT13" s="820"/>
      <c r="CU13" s="820"/>
      <c r="CV13" s="820"/>
      <c r="CW13" s="820"/>
      <c r="CX13" s="821"/>
      <c r="CY13" s="790" t="s">
        <v>1101</v>
      </c>
      <c r="CZ13" s="811"/>
      <c r="DA13" s="790" t="s">
        <v>1102</v>
      </c>
      <c r="DB13" s="811"/>
      <c r="DC13" s="790" t="s">
        <v>1103</v>
      </c>
      <c r="DD13" s="811"/>
      <c r="DE13" s="790" t="s">
        <v>1104</v>
      </c>
      <c r="DF13" s="811"/>
      <c r="DG13" s="809" t="s">
        <v>1105</v>
      </c>
      <c r="DH13" s="810"/>
      <c r="DI13" s="810"/>
      <c r="DJ13" s="819"/>
      <c r="DK13" s="827"/>
      <c r="DL13" s="820"/>
      <c r="DM13" s="820"/>
      <c r="DN13" s="820"/>
      <c r="DO13" s="820"/>
      <c r="DP13" s="820"/>
      <c r="DQ13" s="820"/>
      <c r="DR13" s="820"/>
      <c r="DS13" s="820"/>
      <c r="DT13" s="820"/>
      <c r="DU13" s="820"/>
      <c r="DV13" s="820"/>
      <c r="DW13" s="820"/>
      <c r="DX13" s="820"/>
      <c r="DY13" s="820"/>
      <c r="DZ13" s="820"/>
      <c r="EA13" s="820"/>
      <c r="EB13" s="820"/>
      <c r="EC13" s="820"/>
      <c r="ED13" s="820"/>
      <c r="EE13" s="820"/>
      <c r="EF13" s="820"/>
      <c r="EG13" s="820"/>
      <c r="EH13" s="820"/>
      <c r="EI13" s="820"/>
      <c r="EJ13" s="820"/>
      <c r="EK13" s="820"/>
      <c r="EL13" s="820"/>
      <c r="EM13" s="820"/>
      <c r="EN13" s="820"/>
      <c r="EO13" s="820"/>
      <c r="EP13" s="820"/>
      <c r="EQ13" s="820"/>
      <c r="ER13" s="820"/>
      <c r="ES13" s="820"/>
      <c r="ET13" s="820"/>
      <c r="EU13" s="820"/>
      <c r="EV13" s="820"/>
      <c r="EW13" s="820"/>
      <c r="EX13" s="820"/>
      <c r="EY13" s="820"/>
      <c r="EZ13" s="820"/>
      <c r="FA13" s="820"/>
      <c r="FB13" s="820"/>
      <c r="FC13" s="820"/>
      <c r="FD13" s="820"/>
      <c r="FE13" s="820"/>
      <c r="FF13" s="820"/>
      <c r="FG13" s="820"/>
      <c r="FH13" s="820"/>
      <c r="FI13" s="820"/>
      <c r="FJ13" s="820"/>
      <c r="FK13" s="820"/>
      <c r="FL13" s="820"/>
      <c r="FM13" s="820"/>
      <c r="FN13" s="820"/>
      <c r="FO13" s="820"/>
      <c r="FP13" s="820"/>
      <c r="FQ13" s="820"/>
      <c r="FR13" s="820"/>
      <c r="FS13" s="820"/>
      <c r="FT13" s="820"/>
      <c r="FU13" s="820"/>
      <c r="FV13" s="820"/>
      <c r="FW13" s="825"/>
      <c r="FX13" s="23"/>
      <c r="GC13" s="38">
        <v>36</v>
      </c>
    </row>
    <row r="14" spans="2:185" ht="37.9" customHeight="1">
      <c r="D14" s="39"/>
      <c r="E14" s="312"/>
      <c r="F14" s="722"/>
      <c r="G14" s="722"/>
      <c r="H14" s="722"/>
      <c r="I14" s="722"/>
      <c r="J14" s="820"/>
      <c r="K14" s="820"/>
      <c r="L14" s="820"/>
      <c r="M14" s="820"/>
      <c r="N14" s="820"/>
      <c r="O14" s="790" t="s">
        <v>1106</v>
      </c>
      <c r="P14" s="811"/>
      <c r="Q14" s="790" t="s">
        <v>1107</v>
      </c>
      <c r="R14" s="811"/>
      <c r="S14" s="791"/>
      <c r="T14" s="727"/>
      <c r="U14" s="790" t="s">
        <v>839</v>
      </c>
      <c r="V14" s="811"/>
      <c r="W14" s="790" t="s">
        <v>842</v>
      </c>
      <c r="X14" s="811"/>
      <c r="Y14" s="790" t="s">
        <v>839</v>
      </c>
      <c r="Z14" s="811"/>
      <c r="AA14" s="790" t="s">
        <v>849</v>
      </c>
      <c r="AB14" s="811"/>
      <c r="AC14" s="820"/>
      <c r="AD14" s="820"/>
      <c r="AE14" s="820"/>
      <c r="AF14" s="820"/>
      <c r="AG14" s="820"/>
      <c r="AH14" s="820"/>
      <c r="AI14" s="820"/>
      <c r="AJ14" s="820"/>
      <c r="AK14" s="820"/>
      <c r="AL14" s="820"/>
      <c r="AM14" s="820"/>
      <c r="AN14" s="820"/>
      <c r="AO14" s="820"/>
      <c r="AP14" s="820"/>
      <c r="AQ14" s="820"/>
      <c r="AR14" s="820"/>
      <c r="AS14" s="820"/>
      <c r="AT14" s="820"/>
      <c r="AU14" s="820"/>
      <c r="AV14" s="820"/>
      <c r="AW14" s="820"/>
      <c r="AX14" s="820"/>
      <c r="AY14" s="820"/>
      <c r="AZ14" s="820"/>
      <c r="BA14" s="820"/>
      <c r="BB14" s="820"/>
      <c r="BC14" s="820"/>
      <c r="BD14" s="820"/>
      <c r="BE14" s="820"/>
      <c r="BF14" s="820"/>
      <c r="BG14" s="820"/>
      <c r="BH14" s="820"/>
      <c r="BI14" s="820"/>
      <c r="BJ14" s="820"/>
      <c r="BK14" s="820"/>
      <c r="BL14" s="820"/>
      <c r="BM14" s="820"/>
      <c r="BN14" s="820"/>
      <c r="BO14" s="820"/>
      <c r="BP14" s="820"/>
      <c r="BQ14" s="820"/>
      <c r="BR14" s="820"/>
      <c r="BS14" s="821"/>
      <c r="BT14" s="791"/>
      <c r="BU14" s="727"/>
      <c r="BV14" s="791"/>
      <c r="BW14" s="727"/>
      <c r="BX14" s="791"/>
      <c r="BY14" s="727"/>
      <c r="BZ14" s="791"/>
      <c r="CA14" s="727"/>
      <c r="CB14" s="791"/>
      <c r="CC14" s="727"/>
      <c r="CD14" s="791"/>
      <c r="CE14" s="727"/>
      <c r="CF14" s="791"/>
      <c r="CG14" s="727"/>
      <c r="CH14" s="790" t="s">
        <v>1108</v>
      </c>
      <c r="CI14" s="811"/>
      <c r="CJ14" s="790" t="s">
        <v>1109</v>
      </c>
      <c r="CK14" s="811"/>
      <c r="CL14" s="827"/>
      <c r="CM14" s="820"/>
      <c r="CN14" s="820"/>
      <c r="CO14" s="820"/>
      <c r="CP14" s="820"/>
      <c r="CQ14" s="820"/>
      <c r="CR14" s="820"/>
      <c r="CS14" s="820"/>
      <c r="CT14" s="820"/>
      <c r="CU14" s="820"/>
      <c r="CV14" s="820"/>
      <c r="CW14" s="820"/>
      <c r="CX14" s="821"/>
      <c r="CY14" s="791"/>
      <c r="CZ14" s="727"/>
      <c r="DA14" s="791"/>
      <c r="DB14" s="727"/>
      <c r="DC14" s="791"/>
      <c r="DD14" s="727"/>
      <c r="DE14" s="791"/>
      <c r="DF14" s="727"/>
      <c r="DG14" s="790" t="s">
        <v>1110</v>
      </c>
      <c r="DH14" s="811"/>
      <c r="DI14" s="790" t="s">
        <v>1111</v>
      </c>
      <c r="DJ14" s="811"/>
      <c r="DK14" s="827"/>
      <c r="DL14" s="820"/>
      <c r="DM14" s="820"/>
      <c r="DN14" s="820"/>
      <c r="DO14" s="820"/>
      <c r="DP14" s="820"/>
      <c r="DQ14" s="820"/>
      <c r="DR14" s="820"/>
      <c r="DS14" s="820"/>
      <c r="DT14" s="820"/>
      <c r="DU14" s="820"/>
      <c r="DV14" s="820"/>
      <c r="DW14" s="820"/>
      <c r="DX14" s="820"/>
      <c r="DY14" s="820"/>
      <c r="DZ14" s="820"/>
      <c r="EA14" s="820"/>
      <c r="EB14" s="820"/>
      <c r="EC14" s="820"/>
      <c r="ED14" s="820"/>
      <c r="EE14" s="820"/>
      <c r="EF14" s="820"/>
      <c r="EG14" s="820"/>
      <c r="EH14" s="820"/>
      <c r="EI14" s="820"/>
      <c r="EJ14" s="820"/>
      <c r="EK14" s="820"/>
      <c r="EL14" s="820"/>
      <c r="EM14" s="820"/>
      <c r="EN14" s="820"/>
      <c r="EO14" s="820"/>
      <c r="EP14" s="820"/>
      <c r="EQ14" s="820"/>
      <c r="ER14" s="820"/>
      <c r="ES14" s="820"/>
      <c r="ET14" s="820"/>
      <c r="EU14" s="820"/>
      <c r="EV14" s="820"/>
      <c r="EW14" s="820"/>
      <c r="EX14" s="820"/>
      <c r="EY14" s="820"/>
      <c r="EZ14" s="820"/>
      <c r="FA14" s="820"/>
      <c r="FB14" s="820"/>
      <c r="FC14" s="820"/>
      <c r="FD14" s="820"/>
      <c r="FE14" s="820"/>
      <c r="FF14" s="820"/>
      <c r="FG14" s="820"/>
      <c r="FH14" s="820"/>
      <c r="FI14" s="820"/>
      <c r="FJ14" s="820"/>
      <c r="FK14" s="820"/>
      <c r="FL14" s="820"/>
      <c r="FM14" s="820"/>
      <c r="FN14" s="820"/>
      <c r="FO14" s="820"/>
      <c r="FP14" s="820"/>
      <c r="FQ14" s="820"/>
      <c r="FR14" s="820"/>
      <c r="FS14" s="820"/>
      <c r="FT14" s="820"/>
      <c r="FU14" s="820"/>
      <c r="FV14" s="820"/>
      <c r="FW14" s="825"/>
      <c r="FX14" s="23"/>
      <c r="GC14" s="38">
        <v>36</v>
      </c>
    </row>
    <row r="15" spans="2:185" ht="37.9" customHeight="1">
      <c r="D15" s="39"/>
      <c r="E15" s="312"/>
      <c r="F15" s="722"/>
      <c r="G15" s="722"/>
      <c r="H15" s="722"/>
      <c r="I15" s="722"/>
      <c r="J15" s="820"/>
      <c r="K15" s="820"/>
      <c r="L15" s="820"/>
      <c r="M15" s="820"/>
      <c r="N15" s="820"/>
      <c r="O15" s="792"/>
      <c r="P15" s="813"/>
      <c r="Q15" s="792"/>
      <c r="R15" s="813"/>
      <c r="S15" s="792"/>
      <c r="T15" s="813"/>
      <c r="U15" s="792"/>
      <c r="V15" s="813"/>
      <c r="W15" s="792"/>
      <c r="X15" s="813"/>
      <c r="Y15" s="792"/>
      <c r="Z15" s="813"/>
      <c r="AA15" s="792"/>
      <c r="AB15" s="813"/>
      <c r="AC15" s="820"/>
      <c r="AD15" s="820"/>
      <c r="AE15" s="820"/>
      <c r="AF15" s="820"/>
      <c r="AG15" s="820"/>
      <c r="AH15" s="820"/>
      <c r="AI15" s="820"/>
      <c r="AJ15" s="820"/>
      <c r="AK15" s="820"/>
      <c r="AL15" s="820"/>
      <c r="AM15" s="820"/>
      <c r="AN15" s="820"/>
      <c r="AO15" s="820"/>
      <c r="AP15" s="820"/>
      <c r="AQ15" s="820"/>
      <c r="AR15" s="820"/>
      <c r="AS15" s="820"/>
      <c r="AT15" s="820"/>
      <c r="AU15" s="820"/>
      <c r="AV15" s="820"/>
      <c r="AW15" s="820"/>
      <c r="AX15" s="820"/>
      <c r="AY15" s="820"/>
      <c r="AZ15" s="820"/>
      <c r="BA15" s="820"/>
      <c r="BB15" s="820"/>
      <c r="BC15" s="820"/>
      <c r="BD15" s="820"/>
      <c r="BE15" s="820"/>
      <c r="BF15" s="820"/>
      <c r="BG15" s="820"/>
      <c r="BH15" s="820"/>
      <c r="BI15" s="820"/>
      <c r="BJ15" s="820"/>
      <c r="BK15" s="820"/>
      <c r="BL15" s="820"/>
      <c r="BM15" s="820"/>
      <c r="BN15" s="820"/>
      <c r="BO15" s="820"/>
      <c r="BP15" s="820"/>
      <c r="BQ15" s="820"/>
      <c r="BR15" s="820"/>
      <c r="BS15" s="821"/>
      <c r="BT15" s="792"/>
      <c r="BU15" s="813"/>
      <c r="BV15" s="792"/>
      <c r="BW15" s="813"/>
      <c r="BX15" s="792"/>
      <c r="BY15" s="813"/>
      <c r="BZ15" s="792"/>
      <c r="CA15" s="813"/>
      <c r="CB15" s="792"/>
      <c r="CC15" s="813"/>
      <c r="CD15" s="792"/>
      <c r="CE15" s="813"/>
      <c r="CF15" s="792"/>
      <c r="CG15" s="813"/>
      <c r="CH15" s="792"/>
      <c r="CI15" s="813"/>
      <c r="CJ15" s="792"/>
      <c r="CK15" s="813"/>
      <c r="CL15" s="827"/>
      <c r="CM15" s="820"/>
      <c r="CN15" s="820"/>
      <c r="CO15" s="820"/>
      <c r="CP15" s="820"/>
      <c r="CQ15" s="820"/>
      <c r="CR15" s="820"/>
      <c r="CS15" s="820"/>
      <c r="CT15" s="820"/>
      <c r="CU15" s="820"/>
      <c r="CV15" s="820"/>
      <c r="CW15" s="820"/>
      <c r="CX15" s="821"/>
      <c r="CY15" s="792"/>
      <c r="CZ15" s="813"/>
      <c r="DA15" s="792"/>
      <c r="DB15" s="813"/>
      <c r="DC15" s="792"/>
      <c r="DD15" s="813"/>
      <c r="DE15" s="792"/>
      <c r="DF15" s="813"/>
      <c r="DG15" s="792"/>
      <c r="DH15" s="813"/>
      <c r="DI15" s="792"/>
      <c r="DJ15" s="813"/>
      <c r="DK15" s="827"/>
      <c r="DL15" s="820"/>
      <c r="DM15" s="820"/>
      <c r="DN15" s="820"/>
      <c r="DO15" s="820"/>
      <c r="DP15" s="820"/>
      <c r="DQ15" s="820"/>
      <c r="DR15" s="820"/>
      <c r="DS15" s="820"/>
      <c r="DT15" s="820"/>
      <c r="DU15" s="820"/>
      <c r="DV15" s="820"/>
      <c r="DW15" s="820"/>
      <c r="DX15" s="820"/>
      <c r="DY15" s="820"/>
      <c r="DZ15" s="820"/>
      <c r="EA15" s="820"/>
      <c r="EB15" s="820"/>
      <c r="EC15" s="820"/>
      <c r="ED15" s="820"/>
      <c r="EE15" s="820"/>
      <c r="EF15" s="820"/>
      <c r="EG15" s="820"/>
      <c r="EH15" s="820"/>
      <c r="EI15" s="820"/>
      <c r="EJ15" s="820"/>
      <c r="EK15" s="820"/>
      <c r="EL15" s="820"/>
      <c r="EM15" s="820"/>
      <c r="EN15" s="820"/>
      <c r="EO15" s="820"/>
      <c r="EP15" s="820"/>
      <c r="EQ15" s="820"/>
      <c r="ER15" s="820"/>
      <c r="ES15" s="820"/>
      <c r="ET15" s="820"/>
      <c r="EU15" s="820"/>
      <c r="EV15" s="820"/>
      <c r="EW15" s="820"/>
      <c r="EX15" s="820"/>
      <c r="EY15" s="820"/>
      <c r="EZ15" s="820"/>
      <c r="FA15" s="820"/>
      <c r="FB15" s="820"/>
      <c r="FC15" s="820"/>
      <c r="FD15" s="820"/>
      <c r="FE15" s="820"/>
      <c r="FF15" s="820"/>
      <c r="FG15" s="820"/>
      <c r="FH15" s="820"/>
      <c r="FI15" s="820"/>
      <c r="FJ15" s="820"/>
      <c r="FK15" s="820"/>
      <c r="FL15" s="820"/>
      <c r="FM15" s="820"/>
      <c r="FN15" s="820"/>
      <c r="FO15" s="820"/>
      <c r="FP15" s="820"/>
      <c r="FQ15" s="820"/>
      <c r="FR15" s="820"/>
      <c r="FS15" s="820"/>
      <c r="FT15" s="820"/>
      <c r="FU15" s="820"/>
      <c r="FV15" s="820"/>
      <c r="FW15" s="825"/>
      <c r="FX15" s="23"/>
      <c r="GC15" s="38">
        <v>36</v>
      </c>
    </row>
    <row r="16" spans="2:185" ht="12.75" customHeight="1">
      <c r="D16" s="39"/>
      <c r="E16" s="312"/>
      <c r="F16" s="722"/>
      <c r="G16" s="722"/>
      <c r="H16" s="722"/>
      <c r="I16" s="722"/>
      <c r="J16" s="820"/>
      <c r="K16" s="820"/>
      <c r="L16" s="820"/>
      <c r="M16" s="820"/>
      <c r="N16" s="820"/>
      <c r="O16" s="809" t="s">
        <v>829</v>
      </c>
      <c r="P16" s="819"/>
      <c r="Q16" s="809" t="s">
        <v>831</v>
      </c>
      <c r="R16" s="819"/>
      <c r="S16" s="809" t="s">
        <v>835</v>
      </c>
      <c r="T16" s="819"/>
      <c r="U16" s="809" t="s">
        <v>840</v>
      </c>
      <c r="V16" s="819"/>
      <c r="W16" s="809" t="s">
        <v>843</v>
      </c>
      <c r="X16" s="819"/>
      <c r="Y16" s="809" t="s">
        <v>847</v>
      </c>
      <c r="Z16" s="819"/>
      <c r="AA16" s="809" t="s">
        <v>850</v>
      </c>
      <c r="AB16" s="819"/>
      <c r="AC16" s="820"/>
      <c r="AD16" s="820"/>
      <c r="AE16" s="820"/>
      <c r="AF16" s="820"/>
      <c r="AG16" s="820"/>
      <c r="AH16" s="820"/>
      <c r="AI16" s="820"/>
      <c r="AJ16" s="820"/>
      <c r="AK16" s="820"/>
      <c r="AL16" s="820"/>
      <c r="AM16" s="820"/>
      <c r="AN16" s="820"/>
      <c r="AO16" s="820"/>
      <c r="AP16" s="820"/>
      <c r="AQ16" s="820"/>
      <c r="AR16" s="820"/>
      <c r="AS16" s="820"/>
      <c r="AT16" s="820"/>
      <c r="AU16" s="820"/>
      <c r="AV16" s="820"/>
      <c r="AW16" s="820"/>
      <c r="AX16" s="820"/>
      <c r="AY16" s="820"/>
      <c r="AZ16" s="820"/>
      <c r="BA16" s="820"/>
      <c r="BB16" s="820"/>
      <c r="BC16" s="820"/>
      <c r="BD16" s="820"/>
      <c r="BE16" s="820"/>
      <c r="BF16" s="820"/>
      <c r="BG16" s="820"/>
      <c r="BH16" s="820"/>
      <c r="BI16" s="820"/>
      <c r="BJ16" s="820"/>
      <c r="BK16" s="820"/>
      <c r="BL16" s="820"/>
      <c r="BM16" s="820"/>
      <c r="BN16" s="820"/>
      <c r="BO16" s="820"/>
      <c r="BP16" s="820"/>
      <c r="BQ16" s="820"/>
      <c r="BR16" s="820"/>
      <c r="BS16" s="821"/>
      <c r="BT16" s="809" t="s">
        <v>561</v>
      </c>
      <c r="BU16" s="819"/>
      <c r="BV16" s="809" t="s">
        <v>561</v>
      </c>
      <c r="BW16" s="819"/>
      <c r="BX16" s="809" t="s">
        <v>561</v>
      </c>
      <c r="BY16" s="819"/>
      <c r="BZ16" s="809" t="s">
        <v>561</v>
      </c>
      <c r="CA16" s="819"/>
      <c r="CB16" s="809" t="s">
        <v>1112</v>
      </c>
      <c r="CC16" s="819"/>
      <c r="CD16" s="809" t="s">
        <v>561</v>
      </c>
      <c r="CE16" s="819"/>
      <c r="CF16" s="809" t="s">
        <v>1113</v>
      </c>
      <c r="CG16" s="819"/>
      <c r="CH16" s="809" t="s">
        <v>1114</v>
      </c>
      <c r="CI16" s="819"/>
      <c r="CJ16" s="809" t="s">
        <v>1114</v>
      </c>
      <c r="CK16" s="819"/>
      <c r="CL16" s="827"/>
      <c r="CM16" s="820"/>
      <c r="CN16" s="820"/>
      <c r="CO16" s="820"/>
      <c r="CP16" s="820"/>
      <c r="CQ16" s="820"/>
      <c r="CR16" s="820"/>
      <c r="CS16" s="820"/>
      <c r="CT16" s="820"/>
      <c r="CU16" s="820"/>
      <c r="CV16" s="820"/>
      <c r="CW16" s="820"/>
      <c r="CX16" s="821"/>
      <c r="CY16" s="790" t="s">
        <v>561</v>
      </c>
      <c r="CZ16" s="811"/>
      <c r="DA16" s="790" t="s">
        <v>561</v>
      </c>
      <c r="DB16" s="811"/>
      <c r="DC16" s="790" t="s">
        <v>561</v>
      </c>
      <c r="DD16" s="811"/>
      <c r="DE16" s="809" t="s">
        <v>1112</v>
      </c>
      <c r="DF16" s="819"/>
      <c r="DG16" s="809" t="s">
        <v>1115</v>
      </c>
      <c r="DH16" s="819"/>
      <c r="DI16" s="809" t="s">
        <v>1115</v>
      </c>
      <c r="DJ16" s="819"/>
      <c r="DK16" s="827"/>
      <c r="DL16" s="820"/>
      <c r="DM16" s="820"/>
      <c r="DN16" s="820"/>
      <c r="DO16" s="820"/>
      <c r="DP16" s="820"/>
      <c r="DQ16" s="820"/>
      <c r="DR16" s="820"/>
      <c r="DS16" s="820"/>
      <c r="DT16" s="820"/>
      <c r="DU16" s="820"/>
      <c r="DV16" s="820"/>
      <c r="DW16" s="820"/>
      <c r="DX16" s="820"/>
      <c r="DY16" s="820"/>
      <c r="DZ16" s="820"/>
      <c r="EA16" s="820"/>
      <c r="EB16" s="820"/>
      <c r="EC16" s="820"/>
      <c r="ED16" s="820"/>
      <c r="EE16" s="820"/>
      <c r="EF16" s="820"/>
      <c r="EG16" s="820"/>
      <c r="EH16" s="820"/>
      <c r="EI16" s="820"/>
      <c r="EJ16" s="820"/>
      <c r="EK16" s="820"/>
      <c r="EL16" s="820"/>
      <c r="EM16" s="820"/>
      <c r="EN16" s="820"/>
      <c r="EO16" s="820"/>
      <c r="EP16" s="820"/>
      <c r="EQ16" s="820"/>
      <c r="ER16" s="820"/>
      <c r="ES16" s="820"/>
      <c r="ET16" s="820"/>
      <c r="EU16" s="820"/>
      <c r="EV16" s="820"/>
      <c r="EW16" s="820"/>
      <c r="EX16" s="820"/>
      <c r="EY16" s="820"/>
      <c r="EZ16" s="820"/>
      <c r="FA16" s="820"/>
      <c r="FB16" s="820"/>
      <c r="FC16" s="820"/>
      <c r="FD16" s="820"/>
      <c r="FE16" s="820"/>
      <c r="FF16" s="820"/>
      <c r="FG16" s="820"/>
      <c r="FH16" s="820"/>
      <c r="FI16" s="820"/>
      <c r="FJ16" s="820"/>
      <c r="FK16" s="820"/>
      <c r="FL16" s="820"/>
      <c r="FM16" s="820"/>
      <c r="FN16" s="820"/>
      <c r="FO16" s="820"/>
      <c r="FP16" s="820"/>
      <c r="FQ16" s="820"/>
      <c r="FR16" s="820"/>
      <c r="FS16" s="820"/>
      <c r="FT16" s="820"/>
      <c r="FU16" s="820"/>
      <c r="FV16" s="820"/>
      <c r="FW16" s="825"/>
      <c r="FX16" s="23"/>
      <c r="GC16" s="38">
        <v>12</v>
      </c>
    </row>
    <row r="17" spans="1:185" ht="15.75" customHeight="1">
      <c r="E17" s="312"/>
      <c r="F17" s="722"/>
      <c r="G17" s="722"/>
      <c r="H17" s="722"/>
      <c r="I17" s="722"/>
      <c r="J17" s="820"/>
      <c r="K17" s="820"/>
      <c r="L17" s="820"/>
      <c r="M17" s="820"/>
      <c r="N17" s="820"/>
      <c r="O17" s="24" t="s">
        <v>1116</v>
      </c>
      <c r="P17" s="24" t="s">
        <v>1117</v>
      </c>
      <c r="Q17" s="24" t="s">
        <v>1116</v>
      </c>
      <c r="R17" s="24" t="s">
        <v>1117</v>
      </c>
      <c r="S17" s="24" t="s">
        <v>1116</v>
      </c>
      <c r="T17" s="24" t="s">
        <v>1117</v>
      </c>
      <c r="U17" s="24" t="s">
        <v>1116</v>
      </c>
      <c r="V17" s="24" t="s">
        <v>1117</v>
      </c>
      <c r="W17" s="24" t="s">
        <v>1116</v>
      </c>
      <c r="X17" s="24" t="s">
        <v>1117</v>
      </c>
      <c r="Y17" s="24" t="s">
        <v>1116</v>
      </c>
      <c r="Z17" s="24" t="s">
        <v>1117</v>
      </c>
      <c r="AA17" s="24" t="s">
        <v>1116</v>
      </c>
      <c r="AB17" s="24" t="s">
        <v>1117</v>
      </c>
      <c r="AC17" s="820"/>
      <c r="AD17" s="820"/>
      <c r="AE17" s="820"/>
      <c r="AF17" s="820"/>
      <c r="AG17" s="820"/>
      <c r="AH17" s="820"/>
      <c r="AI17" s="820"/>
      <c r="AJ17" s="820"/>
      <c r="AK17" s="820"/>
      <c r="AL17" s="820"/>
      <c r="AM17" s="820"/>
      <c r="AN17" s="820"/>
      <c r="AO17" s="820"/>
      <c r="AP17" s="820"/>
      <c r="AQ17" s="820"/>
      <c r="AR17" s="820"/>
      <c r="AS17" s="820"/>
      <c r="AT17" s="820"/>
      <c r="AU17" s="820"/>
      <c r="AV17" s="820"/>
      <c r="AW17" s="820"/>
      <c r="AX17" s="820"/>
      <c r="AY17" s="820"/>
      <c r="AZ17" s="820"/>
      <c r="BA17" s="820"/>
      <c r="BB17" s="820"/>
      <c r="BC17" s="820"/>
      <c r="BD17" s="820"/>
      <c r="BE17" s="820"/>
      <c r="BF17" s="820"/>
      <c r="BG17" s="820"/>
      <c r="BH17" s="820"/>
      <c r="BI17" s="820"/>
      <c r="BJ17" s="820"/>
      <c r="BK17" s="820"/>
      <c r="BL17" s="820"/>
      <c r="BM17" s="820"/>
      <c r="BN17" s="820"/>
      <c r="BO17" s="820"/>
      <c r="BP17" s="820"/>
      <c r="BQ17" s="820"/>
      <c r="BR17" s="820"/>
      <c r="BS17" s="821"/>
      <c r="BT17" s="24" t="s">
        <v>1116</v>
      </c>
      <c r="BU17" s="24" t="s">
        <v>1117</v>
      </c>
      <c r="BV17" s="24" t="s">
        <v>1116</v>
      </c>
      <c r="BW17" s="24" t="s">
        <v>1117</v>
      </c>
      <c r="BX17" s="24" t="s">
        <v>1116</v>
      </c>
      <c r="BY17" s="24" t="s">
        <v>1117</v>
      </c>
      <c r="BZ17" s="24" t="s">
        <v>1116</v>
      </c>
      <c r="CA17" s="24" t="s">
        <v>1117</v>
      </c>
      <c r="CB17" s="24" t="s">
        <v>1116</v>
      </c>
      <c r="CC17" s="24" t="s">
        <v>1117</v>
      </c>
      <c r="CD17" s="24" t="s">
        <v>1116</v>
      </c>
      <c r="CE17" s="24" t="s">
        <v>1117</v>
      </c>
      <c r="CF17" s="24" t="s">
        <v>1116</v>
      </c>
      <c r="CG17" s="24" t="s">
        <v>1117</v>
      </c>
      <c r="CH17" s="24" t="s">
        <v>1116</v>
      </c>
      <c r="CI17" s="24" t="s">
        <v>1117</v>
      </c>
      <c r="CJ17" s="24" t="s">
        <v>1116</v>
      </c>
      <c r="CK17" s="24" t="s">
        <v>1117</v>
      </c>
      <c r="CL17" s="827"/>
      <c r="CM17" s="820"/>
      <c r="CN17" s="820"/>
      <c r="CO17" s="820"/>
      <c r="CP17" s="820"/>
      <c r="CQ17" s="820"/>
      <c r="CR17" s="820"/>
      <c r="CS17" s="820"/>
      <c r="CT17" s="820"/>
      <c r="CU17" s="820"/>
      <c r="CV17" s="820"/>
      <c r="CW17" s="820"/>
      <c r="CX17" s="821"/>
      <c r="CY17" s="24" t="s">
        <v>1116</v>
      </c>
      <c r="CZ17" s="24" t="s">
        <v>1117</v>
      </c>
      <c r="DA17" s="24" t="s">
        <v>1116</v>
      </c>
      <c r="DB17" s="24" t="s">
        <v>1117</v>
      </c>
      <c r="DC17" s="24" t="s">
        <v>1116</v>
      </c>
      <c r="DD17" s="24" t="s">
        <v>1117</v>
      </c>
      <c r="DE17" s="24" t="s">
        <v>1116</v>
      </c>
      <c r="DF17" s="24" t="s">
        <v>1117</v>
      </c>
      <c r="DG17" s="24" t="s">
        <v>1116</v>
      </c>
      <c r="DH17" s="24" t="s">
        <v>1117</v>
      </c>
      <c r="DI17" s="24" t="s">
        <v>1116</v>
      </c>
      <c r="DJ17" s="24" t="s">
        <v>1117</v>
      </c>
      <c r="DK17" s="827"/>
      <c r="DL17" s="820"/>
      <c r="DM17" s="820"/>
      <c r="DN17" s="820"/>
      <c r="DO17" s="820"/>
      <c r="DP17" s="820"/>
      <c r="DQ17" s="820"/>
      <c r="DR17" s="820"/>
      <c r="DS17" s="820"/>
      <c r="DT17" s="820"/>
      <c r="DU17" s="820"/>
      <c r="DV17" s="820"/>
      <c r="DW17" s="820"/>
      <c r="DX17" s="820"/>
      <c r="DY17" s="820"/>
      <c r="DZ17" s="820"/>
      <c r="EA17" s="820"/>
      <c r="EB17" s="820"/>
      <c r="EC17" s="820"/>
      <c r="ED17" s="820"/>
      <c r="EE17" s="820"/>
      <c r="EF17" s="820"/>
      <c r="EG17" s="820"/>
      <c r="EH17" s="820"/>
      <c r="EI17" s="820"/>
      <c r="EJ17" s="820"/>
      <c r="EK17" s="820"/>
      <c r="EL17" s="820"/>
      <c r="EM17" s="820"/>
      <c r="EN17" s="820"/>
      <c r="EO17" s="820"/>
      <c r="EP17" s="820"/>
      <c r="EQ17" s="820"/>
      <c r="ER17" s="820"/>
      <c r="ES17" s="820"/>
      <c r="ET17" s="820"/>
      <c r="EU17" s="820"/>
      <c r="EV17" s="820"/>
      <c r="EW17" s="820"/>
      <c r="EX17" s="820"/>
      <c r="EY17" s="820"/>
      <c r="EZ17" s="820"/>
      <c r="FA17" s="820"/>
      <c r="FB17" s="820"/>
      <c r="FC17" s="820"/>
      <c r="FD17" s="820"/>
      <c r="FE17" s="820"/>
      <c r="FF17" s="820"/>
      <c r="FG17" s="820"/>
      <c r="FH17" s="820"/>
      <c r="FI17" s="820"/>
      <c r="FJ17" s="820"/>
      <c r="FK17" s="820"/>
      <c r="FL17" s="820"/>
      <c r="FM17" s="820"/>
      <c r="FN17" s="820"/>
      <c r="FO17" s="820"/>
      <c r="FP17" s="820"/>
      <c r="FQ17" s="820"/>
      <c r="FR17" s="820"/>
      <c r="FS17" s="820"/>
      <c r="FT17" s="820"/>
      <c r="FU17" s="820"/>
      <c r="FV17" s="820"/>
      <c r="FW17" s="826"/>
      <c r="FX17" s="23"/>
      <c r="GC17" s="38">
        <v>15</v>
      </c>
    </row>
    <row r="18" spans="1:185" s="38" customFormat="1" ht="12" hidden="1" customHeight="1">
      <c r="B18" s="311"/>
      <c r="E18" s="312"/>
      <c r="F18" s="193"/>
      <c r="G18" s="193"/>
      <c r="H18" s="193"/>
      <c r="I18" s="193"/>
      <c r="J18" s="404"/>
      <c r="K18" s="404"/>
      <c r="L18" s="404"/>
      <c r="M18" s="404"/>
      <c r="N18" s="404"/>
      <c r="O18" s="193"/>
      <c r="P18" s="193"/>
      <c r="Q18" s="193"/>
      <c r="R18" s="193"/>
      <c r="S18" s="193"/>
      <c r="T18" s="193"/>
      <c r="U18" s="405"/>
      <c r="V18" s="405"/>
      <c r="W18" s="405"/>
      <c r="X18" s="405"/>
      <c r="Y18" s="405"/>
      <c r="Z18" s="405"/>
      <c r="AA18" s="405"/>
      <c r="AB18" s="193"/>
      <c r="AC18" s="404"/>
      <c r="AD18" s="404"/>
      <c r="AE18" s="404"/>
      <c r="AF18" s="404"/>
      <c r="AG18" s="404"/>
      <c r="AH18" s="404"/>
      <c r="AI18" s="404"/>
      <c r="AJ18" s="404"/>
      <c r="AK18" s="404"/>
      <c r="AL18" s="404"/>
      <c r="AM18" s="404"/>
      <c r="AN18" s="404"/>
      <c r="AO18" s="404"/>
      <c r="AP18" s="404"/>
      <c r="AQ18" s="404"/>
      <c r="AR18" s="404"/>
      <c r="AS18" s="404"/>
      <c r="AT18" s="404"/>
      <c r="AU18" s="404"/>
      <c r="AV18" s="404"/>
      <c r="AW18" s="404"/>
      <c r="AX18" s="404"/>
      <c r="AY18" s="404"/>
      <c r="AZ18" s="404"/>
      <c r="BA18" s="404"/>
      <c r="BB18" s="404"/>
      <c r="BC18" s="404"/>
      <c r="BD18" s="404"/>
      <c r="BE18" s="404"/>
      <c r="BF18" s="404"/>
      <c r="BG18" s="404"/>
      <c r="BH18" s="404"/>
      <c r="BI18" s="404"/>
      <c r="BJ18" s="404"/>
      <c r="BK18" s="404"/>
      <c r="BL18" s="404"/>
      <c r="BM18" s="404"/>
      <c r="BN18" s="404"/>
      <c r="BO18" s="404"/>
      <c r="BP18" s="404"/>
      <c r="BQ18" s="404"/>
      <c r="BR18" s="404"/>
      <c r="BS18" s="404"/>
      <c r="BT18" s="406"/>
      <c r="BU18" s="406"/>
      <c r="BV18" s="406"/>
      <c r="BW18" s="406"/>
      <c r="BX18" s="406"/>
      <c r="BY18" s="406"/>
      <c r="BZ18" s="406"/>
      <c r="CA18" s="406"/>
      <c r="CB18" s="406"/>
      <c r="CC18" s="406"/>
      <c r="CD18" s="406"/>
      <c r="CE18" s="406"/>
      <c r="CF18" s="406"/>
      <c r="CG18" s="406"/>
      <c r="CH18" s="406"/>
      <c r="CI18" s="406"/>
      <c r="CJ18" s="406"/>
      <c r="CK18" s="406"/>
      <c r="CL18" s="404"/>
      <c r="CM18" s="404"/>
      <c r="CN18" s="404"/>
      <c r="CO18" s="404"/>
      <c r="CP18" s="404"/>
      <c r="CQ18" s="404"/>
      <c r="CR18" s="404"/>
      <c r="CS18" s="404"/>
      <c r="CT18" s="404"/>
      <c r="CU18" s="404"/>
      <c r="CV18" s="404"/>
      <c r="CW18" s="404"/>
      <c r="CX18" s="404"/>
      <c r="CY18" s="406"/>
      <c r="CZ18" s="406"/>
      <c r="DA18" s="406"/>
      <c r="DB18" s="406"/>
      <c r="DC18" s="406"/>
      <c r="DD18" s="406"/>
      <c r="DE18" s="406"/>
      <c r="DF18" s="406"/>
      <c r="DG18" s="406"/>
      <c r="DH18" s="406"/>
      <c r="DI18" s="406"/>
      <c r="DJ18" s="406"/>
      <c r="DK18" s="404"/>
      <c r="DL18" s="404"/>
      <c r="DM18" s="404"/>
      <c r="DN18" s="404"/>
      <c r="DO18" s="404"/>
      <c r="DP18" s="404"/>
      <c r="DQ18" s="404"/>
      <c r="DR18" s="404"/>
      <c r="DS18" s="404"/>
      <c r="DT18" s="404"/>
      <c r="DU18" s="404"/>
      <c r="DV18" s="404"/>
      <c r="DW18" s="404"/>
      <c r="DX18" s="404"/>
      <c r="DY18" s="404"/>
      <c r="DZ18" s="404"/>
      <c r="EA18" s="404"/>
      <c r="EB18" s="404"/>
      <c r="EC18" s="404"/>
      <c r="ED18" s="404"/>
      <c r="EE18" s="404"/>
      <c r="EF18" s="404"/>
      <c r="EG18" s="404"/>
      <c r="EH18" s="404"/>
      <c r="EI18" s="404"/>
      <c r="EJ18" s="404"/>
      <c r="EK18" s="404"/>
      <c r="EL18" s="404"/>
      <c r="EM18" s="404"/>
      <c r="EN18" s="404"/>
      <c r="EO18" s="404"/>
      <c r="EP18" s="404"/>
      <c r="EQ18" s="404"/>
      <c r="ER18" s="404"/>
      <c r="ES18" s="404"/>
      <c r="ET18" s="404"/>
      <c r="EU18" s="404"/>
      <c r="EV18" s="404"/>
      <c r="EW18" s="404"/>
      <c r="EX18" s="404"/>
      <c r="EY18" s="404"/>
      <c r="EZ18" s="404"/>
      <c r="FA18" s="404"/>
      <c r="FB18" s="404"/>
      <c r="FC18" s="404"/>
      <c r="FD18" s="404"/>
      <c r="FE18" s="404"/>
      <c r="FF18" s="404"/>
      <c r="FG18" s="404"/>
      <c r="FH18" s="404"/>
      <c r="FI18" s="404"/>
      <c r="FJ18" s="404"/>
      <c r="FK18" s="404"/>
      <c r="FL18" s="404"/>
      <c r="FM18" s="404"/>
      <c r="FN18" s="404"/>
      <c r="FO18" s="404"/>
      <c r="FP18" s="404"/>
      <c r="FQ18" s="404"/>
      <c r="FR18" s="404"/>
      <c r="FS18" s="404"/>
      <c r="FT18" s="404"/>
      <c r="FU18" s="404"/>
      <c r="FV18" s="404"/>
      <c r="FW18" s="193"/>
      <c r="FX18" s="23"/>
      <c r="GC18" s="38">
        <v>0</v>
      </c>
    </row>
    <row r="19" spans="1:185" s="38" customFormat="1" ht="11.25" hidden="1" customHeight="1">
      <c r="B19" s="311"/>
      <c r="E19" s="312"/>
      <c r="F19" s="193"/>
      <c r="G19" s="193"/>
      <c r="H19" s="193"/>
      <c r="I19" s="193"/>
      <c r="J19" s="193"/>
      <c r="K19" s="193"/>
      <c r="L19" s="193"/>
      <c r="M19" s="193"/>
      <c r="N19" s="193"/>
      <c r="O19" s="193"/>
      <c r="P19" s="193"/>
      <c r="Q19" s="193"/>
      <c r="R19" s="193"/>
      <c r="S19" s="193"/>
      <c r="T19" s="193"/>
      <c r="U19" s="405"/>
      <c r="V19" s="405"/>
      <c r="W19" s="405"/>
      <c r="X19" s="405"/>
      <c r="Y19" s="405"/>
      <c r="Z19" s="405"/>
      <c r="AA19" s="405"/>
      <c r="AB19" s="193"/>
      <c r="AC19" s="193"/>
      <c r="AD19" s="193"/>
      <c r="AE19" s="193"/>
      <c r="AF19" s="193"/>
      <c r="AG19" s="193"/>
      <c r="AH19" s="193"/>
      <c r="AI19" s="193"/>
      <c r="AJ19" s="193"/>
      <c r="AK19" s="193"/>
      <c r="AL19" s="193"/>
      <c r="AM19" s="193"/>
      <c r="AN19" s="193"/>
      <c r="AO19" s="193"/>
      <c r="AP19" s="193"/>
      <c r="AQ19" s="193"/>
      <c r="AR19" s="193"/>
      <c r="AS19" s="193"/>
      <c r="AT19" s="193"/>
      <c r="AU19" s="193"/>
      <c r="AV19" s="193"/>
      <c r="AW19" s="193"/>
      <c r="AX19" s="193"/>
      <c r="AY19" s="193"/>
      <c r="AZ19" s="193"/>
      <c r="BA19" s="193"/>
      <c r="BB19" s="193"/>
      <c r="BC19" s="193"/>
      <c r="BD19" s="193"/>
      <c r="BE19" s="193"/>
      <c r="BF19" s="193"/>
      <c r="BG19" s="193"/>
      <c r="BH19" s="193"/>
      <c r="BI19" s="193"/>
      <c r="BJ19" s="193"/>
      <c r="BK19" s="193"/>
      <c r="BL19" s="193"/>
      <c r="BM19" s="193"/>
      <c r="BN19" s="193"/>
      <c r="BO19" s="193"/>
      <c r="BP19" s="193"/>
      <c r="BQ19" s="193"/>
      <c r="BR19" s="193"/>
      <c r="BS19" s="193"/>
      <c r="BT19" s="193"/>
      <c r="BU19" s="193"/>
      <c r="BV19" s="193"/>
      <c r="BW19" s="193"/>
      <c r="BX19" s="193"/>
      <c r="BY19" s="193"/>
      <c r="BZ19" s="193"/>
      <c r="CA19" s="193"/>
      <c r="CB19" s="193"/>
      <c r="CC19" s="193"/>
      <c r="CD19" s="193"/>
      <c r="CE19" s="193"/>
      <c r="CF19" s="193"/>
      <c r="CG19" s="193"/>
      <c r="CH19" s="193"/>
      <c r="CI19" s="193"/>
      <c r="CJ19" s="193"/>
      <c r="CK19" s="193"/>
      <c r="CL19" s="193"/>
      <c r="CM19" s="193"/>
      <c r="CN19" s="193"/>
      <c r="CO19" s="193"/>
      <c r="CP19" s="193"/>
      <c r="CQ19" s="193"/>
      <c r="CR19" s="193"/>
      <c r="CS19" s="193"/>
      <c r="CT19" s="193"/>
      <c r="CU19" s="193"/>
      <c r="CV19" s="193"/>
      <c r="CW19" s="193"/>
      <c r="CX19" s="193"/>
      <c r="CY19" s="193"/>
      <c r="CZ19" s="193"/>
      <c r="DA19" s="193"/>
      <c r="DB19" s="193"/>
      <c r="DC19" s="193"/>
      <c r="DD19" s="193"/>
      <c r="DE19" s="193"/>
      <c r="DF19" s="193"/>
      <c r="DG19" s="193"/>
      <c r="DH19" s="193"/>
      <c r="DI19" s="193"/>
      <c r="DJ19" s="193"/>
      <c r="DK19" s="193"/>
      <c r="DL19" s="193"/>
      <c r="DM19" s="193"/>
      <c r="DN19" s="193"/>
      <c r="DO19" s="193"/>
      <c r="DP19" s="193"/>
      <c r="DQ19" s="193"/>
      <c r="DR19" s="193"/>
      <c r="DS19" s="193"/>
      <c r="DT19" s="193"/>
      <c r="DU19" s="193"/>
      <c r="DV19" s="193"/>
      <c r="DW19" s="193"/>
      <c r="DX19" s="193"/>
      <c r="DY19" s="193"/>
      <c r="DZ19" s="193"/>
      <c r="EA19" s="193"/>
      <c r="EB19" s="193"/>
      <c r="EC19" s="193"/>
      <c r="ED19" s="193"/>
      <c r="EE19" s="193"/>
      <c r="EF19" s="193"/>
      <c r="EG19" s="193"/>
      <c r="EH19" s="193"/>
      <c r="EI19" s="193"/>
      <c r="EJ19" s="193"/>
      <c r="EK19" s="193"/>
      <c r="EL19" s="193"/>
      <c r="EM19" s="193"/>
      <c r="EN19" s="193"/>
      <c r="EO19" s="193"/>
      <c r="EP19" s="193"/>
      <c r="EQ19" s="193"/>
      <c r="ER19" s="193"/>
      <c r="ES19" s="193"/>
      <c r="ET19" s="193"/>
      <c r="EU19" s="193"/>
      <c r="EV19" s="193"/>
      <c r="EW19" s="193"/>
      <c r="EX19" s="193"/>
      <c r="EY19" s="193"/>
      <c r="EZ19" s="193"/>
      <c r="FA19" s="193"/>
      <c r="FB19" s="193"/>
      <c r="FC19" s="193"/>
      <c r="FD19" s="193"/>
      <c r="FE19" s="193"/>
      <c r="FF19" s="193"/>
      <c r="FG19" s="193"/>
      <c r="FH19" s="193"/>
      <c r="FI19" s="193"/>
      <c r="FJ19" s="193"/>
      <c r="FK19" s="193"/>
      <c r="FL19" s="193"/>
      <c r="FM19" s="193"/>
      <c r="FN19" s="193"/>
      <c r="FO19" s="193"/>
      <c r="FP19" s="193"/>
      <c r="FQ19" s="193"/>
      <c r="FR19" s="193"/>
      <c r="FS19" s="193"/>
      <c r="FT19" s="193"/>
      <c r="FU19" s="193"/>
      <c r="FV19" s="193"/>
      <c r="FW19" s="193"/>
      <c r="FX19" s="23"/>
      <c r="GC19" s="38">
        <v>0</v>
      </c>
    </row>
    <row r="20" spans="1:185" s="38" customFormat="1" ht="11.25" hidden="1" customHeight="1">
      <c r="B20" s="311"/>
      <c r="E20" s="312"/>
      <c r="F20" s="407" t="s">
        <v>379</v>
      </c>
      <c r="G20" s="90"/>
      <c r="H20" s="100"/>
      <c r="I20" s="100"/>
      <c r="J20" s="100"/>
      <c r="K20" s="100"/>
      <c r="L20" s="100"/>
      <c r="M20" s="100"/>
      <c r="N20" s="100"/>
      <c r="O20" s="90"/>
      <c r="P20" s="90"/>
      <c r="Q20" s="90"/>
      <c r="R20" s="90"/>
      <c r="S20" s="90"/>
      <c r="T20" s="90"/>
      <c r="U20" s="100"/>
      <c r="V20" s="100"/>
      <c r="W20" s="100"/>
      <c r="X20" s="100"/>
      <c r="Y20" s="100"/>
      <c r="Z20" s="100"/>
      <c r="AA20" s="100"/>
      <c r="AB20" s="90"/>
      <c r="AC20" s="100"/>
      <c r="AD20" s="100"/>
      <c r="AE20" s="100"/>
      <c r="AF20" s="100"/>
      <c r="AG20" s="100"/>
      <c r="AH20" s="100"/>
      <c r="AI20" s="100"/>
      <c r="AJ20" s="100"/>
      <c r="AK20" s="100"/>
      <c r="AL20" s="100"/>
      <c r="AM20" s="100"/>
      <c r="AN20" s="100"/>
      <c r="AO20" s="100"/>
      <c r="AP20" s="100"/>
      <c r="AQ20" s="100"/>
      <c r="AR20" s="100"/>
      <c r="AS20" s="100"/>
      <c r="AT20" s="100"/>
      <c r="AU20" s="100"/>
      <c r="AV20" s="100"/>
      <c r="AW20" s="100"/>
      <c r="AX20" s="100"/>
      <c r="AY20" s="100"/>
      <c r="AZ20" s="100"/>
      <c r="BA20" s="100"/>
      <c r="BB20" s="100"/>
      <c r="BC20" s="100"/>
      <c r="BD20" s="100"/>
      <c r="BE20" s="100"/>
      <c r="BF20" s="100"/>
      <c r="BG20" s="100"/>
      <c r="BH20" s="100"/>
      <c r="BI20" s="100"/>
      <c r="BJ20" s="100"/>
      <c r="BK20" s="100"/>
      <c r="BL20" s="100"/>
      <c r="BM20" s="100"/>
      <c r="BN20" s="100"/>
      <c r="BO20" s="100"/>
      <c r="BP20" s="100"/>
      <c r="BQ20" s="100"/>
      <c r="BR20" s="100"/>
      <c r="BS20" s="100"/>
      <c r="BT20" s="100"/>
      <c r="BU20" s="100"/>
      <c r="BV20" s="100"/>
      <c r="BW20" s="100"/>
      <c r="BX20" s="100"/>
      <c r="BY20" s="100"/>
      <c r="BZ20" s="100"/>
      <c r="CA20" s="100"/>
      <c r="CB20" s="100"/>
      <c r="CC20" s="100"/>
      <c r="CD20" s="100"/>
      <c r="CE20" s="100"/>
      <c r="CF20" s="100"/>
      <c r="CG20" s="100"/>
      <c r="CH20" s="100"/>
      <c r="CI20" s="100"/>
      <c r="CJ20" s="100"/>
      <c r="CK20" s="100"/>
      <c r="CL20" s="29"/>
      <c r="CM20" s="29"/>
      <c r="CN20" s="29"/>
      <c r="CO20" s="29"/>
      <c r="CP20" s="29"/>
      <c r="CQ20" s="29"/>
      <c r="CR20" s="29"/>
      <c r="CS20" s="29"/>
      <c r="CT20" s="29"/>
      <c r="CU20" s="29"/>
      <c r="CV20" s="29"/>
      <c r="CW20" s="29"/>
      <c r="CX20" s="29"/>
      <c r="CY20" s="29"/>
      <c r="CZ20" s="29"/>
      <c r="DA20" s="29"/>
      <c r="DB20" s="29"/>
      <c r="DC20" s="29"/>
      <c r="DD20" s="29"/>
      <c r="DE20" s="29"/>
      <c r="DF20" s="29"/>
      <c r="DG20" s="29"/>
      <c r="DH20" s="29"/>
      <c r="DI20" s="29"/>
      <c r="DJ20" s="29"/>
      <c r="DK20" s="29"/>
      <c r="DL20" s="29"/>
      <c r="DM20" s="29"/>
      <c r="DN20" s="29"/>
      <c r="DO20" s="29"/>
      <c r="DP20" s="29"/>
      <c r="DQ20" s="29"/>
      <c r="DR20" s="29"/>
      <c r="DS20" s="29"/>
      <c r="DT20" s="29"/>
      <c r="DU20" s="29"/>
      <c r="DV20" s="29"/>
      <c r="DW20" s="29"/>
      <c r="DX20" s="29"/>
      <c r="DY20" s="29"/>
      <c r="DZ20" s="29"/>
      <c r="EA20" s="29"/>
      <c r="EB20" s="29"/>
      <c r="EC20" s="29"/>
      <c r="ED20" s="29"/>
      <c r="EE20" s="29"/>
      <c r="EF20" s="29"/>
      <c r="EG20" s="29"/>
      <c r="EH20" s="29"/>
      <c r="EI20" s="29"/>
      <c r="EJ20" s="29"/>
      <c r="EK20" s="29"/>
      <c r="EL20" s="29"/>
      <c r="EM20" s="29"/>
      <c r="EN20" s="29"/>
      <c r="EO20" s="29"/>
      <c r="EP20" s="29"/>
      <c r="EQ20" s="29"/>
      <c r="ER20" s="29"/>
      <c r="ES20" s="29"/>
      <c r="ET20" s="29"/>
      <c r="EU20" s="29"/>
      <c r="EV20" s="29"/>
      <c r="EW20" s="29"/>
      <c r="EX20" s="29"/>
      <c r="EY20" s="29"/>
      <c r="EZ20" s="29"/>
      <c r="FA20" s="29"/>
      <c r="FB20" s="29"/>
      <c r="FC20" s="29"/>
      <c r="FD20" s="29"/>
      <c r="FE20" s="29"/>
      <c r="FF20" s="29"/>
      <c r="FG20" s="29"/>
      <c r="FH20" s="29"/>
      <c r="FI20" s="29"/>
      <c r="FJ20" s="29"/>
      <c r="FK20" s="29"/>
      <c r="FL20" s="29"/>
      <c r="FM20" s="29"/>
      <c r="FN20" s="29"/>
      <c r="FO20" s="29"/>
      <c r="FP20" s="29"/>
      <c r="FQ20" s="29"/>
      <c r="FR20" s="29"/>
      <c r="FS20" s="29"/>
      <c r="FT20" s="29"/>
      <c r="FU20" s="29"/>
      <c r="FV20" s="29"/>
      <c r="FW20" s="29"/>
      <c r="FX20" s="23"/>
      <c r="GC20" s="38">
        <v>0</v>
      </c>
    </row>
    <row r="21" spans="1:185" s="38" customFormat="1" ht="12.75" customHeight="1">
      <c r="A21" s="39"/>
      <c r="B21" s="39"/>
      <c r="C21" s="39"/>
      <c r="D21" s="39"/>
      <c r="E21" s="39"/>
      <c r="F21" s="312"/>
      <c r="G21" s="312"/>
      <c r="H21" s="312"/>
      <c r="I21" s="312"/>
      <c r="J21" s="312"/>
      <c r="K21" s="312"/>
      <c r="L21" s="312"/>
      <c r="M21" s="312"/>
      <c r="N21" s="312"/>
      <c r="O21" s="312"/>
      <c r="P21" s="312"/>
      <c r="Q21" s="312"/>
      <c r="R21" s="312"/>
      <c r="S21" s="313"/>
      <c r="T21" s="313"/>
      <c r="U21" s="312"/>
      <c r="V21" s="312"/>
      <c r="W21" s="312"/>
      <c r="X21" s="312"/>
      <c r="Y21" s="312"/>
      <c r="Z21" s="312"/>
      <c r="AA21" s="312"/>
      <c r="AB21" s="312"/>
      <c r="AC21" s="312"/>
      <c r="AD21" s="312"/>
      <c r="AE21" s="312"/>
      <c r="AF21" s="312"/>
      <c r="AG21" s="312"/>
      <c r="AH21" s="312"/>
      <c r="AI21" s="312"/>
      <c r="AJ21" s="312"/>
      <c r="AK21" s="312"/>
      <c r="AL21" s="312"/>
      <c r="AM21" s="312"/>
      <c r="AN21" s="312"/>
      <c r="AO21" s="312"/>
      <c r="AP21" s="312"/>
      <c r="AQ21" s="312"/>
      <c r="AR21" s="312"/>
      <c r="AS21" s="312"/>
      <c r="AT21" s="312"/>
      <c r="AU21" s="312"/>
      <c r="AV21" s="312"/>
      <c r="AW21" s="312"/>
      <c r="AX21" s="312"/>
      <c r="AY21" s="312"/>
      <c r="AZ21" s="312"/>
      <c r="BA21" s="312"/>
      <c r="BB21" s="312"/>
      <c r="BC21" s="312"/>
      <c r="BD21" s="312"/>
      <c r="BE21" s="312"/>
      <c r="BF21" s="312"/>
      <c r="BG21" s="312"/>
      <c r="BH21" s="312"/>
      <c r="BI21" s="312"/>
      <c r="BJ21" s="312"/>
      <c r="BK21" s="312"/>
      <c r="BL21" s="312"/>
      <c r="BM21" s="312"/>
      <c r="BN21" s="312"/>
      <c r="BO21" s="312"/>
      <c r="BP21" s="312"/>
      <c r="BQ21" s="312"/>
      <c r="BR21" s="312"/>
      <c r="BS21" s="312"/>
      <c r="BT21" s="312"/>
      <c r="BU21" s="312"/>
      <c r="BV21" s="312"/>
      <c r="BW21" s="312"/>
      <c r="BX21" s="312"/>
      <c r="BY21" s="312"/>
      <c r="BZ21" s="312"/>
      <c r="CA21" s="312"/>
      <c r="CB21" s="312"/>
      <c r="CC21" s="312"/>
      <c r="CD21" s="312"/>
      <c r="CE21" s="312"/>
      <c r="CF21" s="312"/>
      <c r="CG21" s="312"/>
      <c r="CH21" s="312"/>
      <c r="CI21" s="312"/>
      <c r="CJ21" s="312"/>
      <c r="CK21" s="312"/>
      <c r="CL21" s="312"/>
      <c r="CM21" s="312"/>
      <c r="CN21" s="312"/>
      <c r="CO21" s="312"/>
      <c r="CP21" s="312"/>
      <c r="CQ21" s="312"/>
      <c r="CR21" s="312"/>
      <c r="CS21" s="312"/>
      <c r="CT21" s="312"/>
      <c r="CU21" s="312"/>
      <c r="CV21" s="312"/>
      <c r="CW21" s="312"/>
      <c r="CX21" s="312"/>
      <c r="CY21" s="312"/>
      <c r="CZ21" s="312"/>
      <c r="DA21" s="312"/>
      <c r="DB21" s="312"/>
      <c r="DC21" s="312"/>
      <c r="DD21" s="312"/>
      <c r="DE21" s="312"/>
      <c r="DF21" s="312"/>
      <c r="DG21" s="312"/>
      <c r="DH21" s="312"/>
      <c r="DI21" s="312"/>
      <c r="DJ21" s="312"/>
      <c r="DK21" s="312"/>
      <c r="DL21" s="312"/>
      <c r="DM21" s="312"/>
      <c r="DN21" s="312"/>
      <c r="DO21" s="312"/>
      <c r="DP21" s="312"/>
      <c r="DQ21" s="312"/>
      <c r="DR21" s="312"/>
      <c r="DS21" s="312"/>
      <c r="DT21" s="312"/>
      <c r="DU21" s="312"/>
      <c r="DV21" s="312"/>
      <c r="DW21" s="312"/>
      <c r="DX21" s="312"/>
      <c r="DY21" s="312"/>
      <c r="DZ21" s="312"/>
      <c r="EA21" s="312"/>
      <c r="EB21" s="312"/>
      <c r="EC21" s="312"/>
      <c r="ED21" s="312"/>
      <c r="EE21" s="312"/>
      <c r="EF21" s="312"/>
      <c r="EG21" s="312"/>
      <c r="EH21" s="312"/>
      <c r="EI21" s="312"/>
      <c r="EJ21" s="312"/>
      <c r="EK21" s="312"/>
      <c r="EL21" s="312"/>
      <c r="EM21" s="312"/>
      <c r="EN21" s="312"/>
      <c r="EO21" s="312"/>
      <c r="EP21" s="312"/>
      <c r="EQ21" s="312"/>
      <c r="ER21" s="312"/>
      <c r="ES21" s="312"/>
      <c r="ET21" s="312"/>
      <c r="EU21" s="312"/>
      <c r="EV21" s="312"/>
      <c r="EW21" s="312"/>
      <c r="EX21" s="312"/>
      <c r="EY21" s="312"/>
      <c r="EZ21" s="312"/>
      <c r="FA21" s="312"/>
      <c r="FB21" s="312"/>
      <c r="FC21" s="312"/>
      <c r="FD21" s="312"/>
      <c r="FE21" s="312"/>
      <c r="FF21" s="312"/>
      <c r="FG21" s="312"/>
      <c r="FH21" s="312"/>
      <c r="FI21" s="312"/>
      <c r="FJ21" s="312"/>
      <c r="FK21" s="312"/>
      <c r="FL21" s="312"/>
      <c r="FM21" s="312"/>
      <c r="FN21" s="312"/>
      <c r="FO21" s="312"/>
      <c r="FP21" s="312"/>
      <c r="FQ21" s="312"/>
      <c r="FR21" s="312"/>
      <c r="FS21" s="312"/>
      <c r="FT21" s="312"/>
      <c r="FU21" s="312"/>
      <c r="FV21" s="312"/>
      <c r="FW21" s="312"/>
      <c r="FX21" s="39"/>
      <c r="FY21" s="39"/>
      <c r="FZ21" s="39"/>
      <c r="GA21" s="39"/>
      <c r="GB21" s="39"/>
      <c r="GC21" s="38">
        <v>12</v>
      </c>
    </row>
    <row r="22" spans="1:185" s="38" customFormat="1" ht="12.75" customHeight="1">
      <c r="A22" s="39"/>
      <c r="B22" s="39"/>
      <c r="C22" s="39"/>
      <c r="D22" s="39"/>
      <c r="E22" s="39"/>
      <c r="FX22" s="39"/>
      <c r="FY22" s="39"/>
      <c r="FZ22" s="39"/>
      <c r="GA22" s="39"/>
      <c r="GB22" s="39"/>
      <c r="GC22" s="38">
        <v>12</v>
      </c>
    </row>
    <row r="23" spans="1:185" s="38" customFormat="1" ht="12.75" customHeight="1">
      <c r="A23" s="39"/>
      <c r="B23" s="39"/>
      <c r="C23" s="39"/>
      <c r="D23" s="39"/>
      <c r="E23" s="39"/>
      <c r="O23" s="39"/>
      <c r="P23" s="39"/>
      <c r="Q23" s="39"/>
      <c r="R23" s="39"/>
      <c r="S23" s="39"/>
      <c r="T23" s="39"/>
      <c r="U23" s="39"/>
      <c r="V23" s="39"/>
      <c r="W23" s="39"/>
      <c r="X23" s="39"/>
      <c r="Y23" s="39"/>
      <c r="Z23" s="39"/>
      <c r="AA23" s="39"/>
      <c r="AB23" s="39"/>
      <c r="AC23" s="39"/>
      <c r="AD23" s="39"/>
      <c r="AE23" s="39"/>
      <c r="AF23" s="39"/>
      <c r="AG23" s="39"/>
      <c r="AH23" s="39"/>
      <c r="AI23" s="39"/>
      <c r="AJ23" s="39"/>
      <c r="AK23" s="39"/>
      <c r="AL23" s="39"/>
      <c r="AM23" s="39"/>
      <c r="AN23" s="39"/>
      <c r="AO23" s="39"/>
      <c r="AP23" s="39"/>
      <c r="AQ23" s="39"/>
      <c r="AR23" s="39"/>
      <c r="AS23" s="39"/>
      <c r="AT23" s="39"/>
      <c r="AU23" s="39"/>
      <c r="AV23" s="39"/>
      <c r="AW23" s="39"/>
      <c r="AX23" s="39"/>
      <c r="AY23" s="39"/>
      <c r="AZ23" s="39"/>
      <c r="BA23" s="39"/>
      <c r="BB23" s="39"/>
      <c r="BC23" s="39"/>
      <c r="BD23" s="39"/>
      <c r="BE23" s="39"/>
      <c r="BF23" s="39"/>
      <c r="BG23" s="39"/>
      <c r="BH23" s="39"/>
      <c r="BI23" s="39"/>
      <c r="BJ23" s="39"/>
      <c r="BK23" s="39"/>
      <c r="BL23" s="39"/>
      <c r="BM23" s="39"/>
      <c r="BN23" s="39"/>
      <c r="BO23" s="39"/>
      <c r="BP23" s="39"/>
      <c r="BQ23" s="39"/>
      <c r="BR23" s="39"/>
      <c r="BS23" s="39"/>
      <c r="BT23" s="362"/>
      <c r="BU23" s="362"/>
      <c r="BV23" s="362"/>
      <c r="BW23" s="362"/>
      <c r="BX23" s="362"/>
      <c r="BY23" s="362"/>
      <c r="BZ23" s="362"/>
      <c r="CA23" s="362"/>
      <c r="CB23" s="362"/>
      <c r="CC23" s="362"/>
      <c r="CD23" s="362"/>
      <c r="CE23" s="362"/>
      <c r="CF23" s="362"/>
      <c r="CG23" s="362"/>
      <c r="CH23" s="362"/>
      <c r="CI23" s="362"/>
      <c r="CJ23" s="362"/>
      <c r="CK23" s="362"/>
      <c r="CL23" s="362"/>
      <c r="CM23" s="362"/>
      <c r="CN23" s="362"/>
      <c r="CO23" s="362"/>
      <c r="CP23" s="362"/>
      <c r="CQ23" s="362"/>
      <c r="CR23" s="362"/>
      <c r="CS23" s="362"/>
      <c r="CT23" s="362"/>
      <c r="CU23" s="362"/>
      <c r="CV23" s="362"/>
      <c r="CW23" s="362"/>
      <c r="CX23" s="362"/>
      <c r="CY23" s="362"/>
      <c r="CZ23" s="362"/>
      <c r="DA23" s="362"/>
      <c r="DB23" s="362"/>
      <c r="DC23" s="362"/>
      <c r="DD23" s="362"/>
      <c r="DE23" s="362"/>
      <c r="DF23" s="362"/>
      <c r="DG23" s="362"/>
      <c r="DH23" s="362"/>
      <c r="DI23" s="362"/>
      <c r="DJ23" s="362"/>
      <c r="DK23" s="362"/>
      <c r="DL23" s="362"/>
      <c r="DM23" s="362"/>
      <c r="DN23" s="362"/>
      <c r="DO23" s="362"/>
      <c r="DP23" s="362"/>
      <c r="DQ23" s="362"/>
      <c r="DR23" s="362"/>
      <c r="DS23" s="362"/>
      <c r="DT23" s="362"/>
      <c r="DU23" s="362"/>
      <c r="DV23" s="362"/>
      <c r="DW23" s="362"/>
      <c r="DX23" s="362"/>
      <c r="FX23" s="39"/>
      <c r="FY23" s="39"/>
      <c r="FZ23" s="39"/>
      <c r="GA23" s="39"/>
      <c r="GB23" s="39"/>
      <c r="GC23" s="38">
        <v>12</v>
      </c>
    </row>
    <row r="24" spans="1:185" ht="12.75" customHeight="1">
      <c r="S24" s="39"/>
      <c r="T24" s="39"/>
      <c r="U24" s="39"/>
      <c r="V24" s="39"/>
      <c r="W24" s="39"/>
      <c r="X24" s="39"/>
      <c r="Y24" s="39"/>
      <c r="Z24" s="39"/>
      <c r="AA24" s="39"/>
      <c r="AB24" s="39"/>
      <c r="FX24" s="39"/>
      <c r="FY24" s="39"/>
      <c r="FZ24" s="39"/>
      <c r="GA24" s="39"/>
      <c r="GB24" s="39"/>
      <c r="GC24" s="38">
        <v>12</v>
      </c>
    </row>
    <row r="25" spans="1:185" ht="12" hidden="1" customHeight="1">
      <c r="A25" s="38" t="s">
        <v>82</v>
      </c>
      <c r="B25" s="311">
        <v>0</v>
      </c>
      <c r="C25" s="38">
        <v>0</v>
      </c>
      <c r="D25" s="38">
        <v>0</v>
      </c>
      <c r="E25" s="38">
        <v>3</v>
      </c>
      <c r="F25" s="38">
        <v>6</v>
      </c>
      <c r="G25" s="38">
        <v>18</v>
      </c>
      <c r="H25" s="38">
        <v>27</v>
      </c>
      <c r="I25" s="38">
        <v>18</v>
      </c>
      <c r="J25" s="38">
        <v>0</v>
      </c>
      <c r="K25" s="38">
        <v>0</v>
      </c>
      <c r="L25" s="38">
        <v>0</v>
      </c>
      <c r="M25" s="38">
        <v>0</v>
      </c>
      <c r="N25" s="38">
        <v>0</v>
      </c>
      <c r="O25" s="38">
        <v>0</v>
      </c>
      <c r="P25" s="38">
        <v>0</v>
      </c>
      <c r="Q25" s="38">
        <v>0</v>
      </c>
      <c r="R25" s="38">
        <v>0</v>
      </c>
      <c r="S25" s="38">
        <v>0</v>
      </c>
      <c r="T25" s="38">
        <v>0</v>
      </c>
      <c r="U25" s="38">
        <v>0</v>
      </c>
      <c r="V25" s="38">
        <v>0</v>
      </c>
      <c r="W25" s="38">
        <v>0</v>
      </c>
      <c r="X25" s="38">
        <v>0</v>
      </c>
      <c r="Y25" s="38">
        <v>0</v>
      </c>
      <c r="Z25" s="38">
        <v>0</v>
      </c>
      <c r="AA25" s="38">
        <v>0</v>
      </c>
      <c r="AB25" s="38">
        <v>0</v>
      </c>
      <c r="AC25" s="38">
        <v>0</v>
      </c>
      <c r="AD25" s="38">
        <v>0</v>
      </c>
      <c r="AE25" s="38">
        <v>0</v>
      </c>
      <c r="AF25" s="38">
        <v>0</v>
      </c>
      <c r="AG25" s="38">
        <v>0</v>
      </c>
      <c r="AH25" s="38">
        <v>0</v>
      </c>
      <c r="AI25" s="38">
        <v>0</v>
      </c>
      <c r="AJ25" s="38">
        <v>0</v>
      </c>
      <c r="AK25" s="38">
        <v>0</v>
      </c>
      <c r="AL25" s="38">
        <v>0</v>
      </c>
      <c r="AM25" s="38">
        <v>0</v>
      </c>
      <c r="AN25" s="38">
        <v>0</v>
      </c>
      <c r="AO25" s="38">
        <v>0</v>
      </c>
      <c r="AP25" s="38">
        <v>0</v>
      </c>
      <c r="AQ25" s="38">
        <v>0</v>
      </c>
      <c r="AR25" s="38">
        <v>0</v>
      </c>
      <c r="AS25" s="38">
        <v>0</v>
      </c>
      <c r="AT25" s="38">
        <v>0</v>
      </c>
      <c r="AU25" s="38">
        <v>0</v>
      </c>
      <c r="AV25" s="38">
        <v>0</v>
      </c>
      <c r="AW25" s="38">
        <v>0</v>
      </c>
      <c r="AX25" s="38">
        <v>0</v>
      </c>
      <c r="AY25" s="38">
        <v>0</v>
      </c>
      <c r="AZ25" s="38">
        <v>0</v>
      </c>
      <c r="BA25" s="38">
        <v>0</v>
      </c>
      <c r="BB25" s="38">
        <v>0</v>
      </c>
      <c r="BC25" s="38">
        <v>0</v>
      </c>
      <c r="BD25" s="38">
        <v>0</v>
      </c>
      <c r="BE25" s="38">
        <v>0</v>
      </c>
      <c r="BF25" s="38">
        <v>0</v>
      </c>
      <c r="BG25" s="38">
        <v>0</v>
      </c>
      <c r="BH25" s="38">
        <v>0</v>
      </c>
      <c r="BI25" s="38">
        <v>0</v>
      </c>
      <c r="BJ25" s="38">
        <v>0</v>
      </c>
      <c r="BK25" s="38">
        <v>0</v>
      </c>
      <c r="BL25" s="38">
        <v>0</v>
      </c>
      <c r="BM25" s="38">
        <v>0</v>
      </c>
      <c r="BN25" s="38">
        <v>0</v>
      </c>
      <c r="BO25" s="38">
        <v>0</v>
      </c>
      <c r="BP25" s="38">
        <v>0</v>
      </c>
      <c r="BQ25" s="38">
        <v>0</v>
      </c>
      <c r="BR25" s="38">
        <v>0</v>
      </c>
      <c r="BS25" s="38">
        <v>0</v>
      </c>
      <c r="BT25" s="38">
        <v>0</v>
      </c>
      <c r="BU25" s="38">
        <v>0</v>
      </c>
      <c r="BV25" s="38">
        <v>0</v>
      </c>
      <c r="BW25" s="38">
        <v>0</v>
      </c>
      <c r="BX25" s="38">
        <v>0</v>
      </c>
      <c r="BY25" s="38">
        <v>0</v>
      </c>
      <c r="BZ25" s="38">
        <v>0</v>
      </c>
      <c r="CA25" s="38">
        <v>0</v>
      </c>
      <c r="CB25" s="38">
        <v>0</v>
      </c>
      <c r="CC25" s="38">
        <v>0</v>
      </c>
      <c r="CD25" s="38">
        <v>0</v>
      </c>
      <c r="CE25" s="38">
        <v>0</v>
      </c>
      <c r="CF25" s="38">
        <v>0</v>
      </c>
      <c r="CG25" s="38">
        <v>0</v>
      </c>
      <c r="CH25" s="38">
        <v>0</v>
      </c>
      <c r="CI25" s="38">
        <v>0</v>
      </c>
      <c r="CJ25" s="38">
        <v>0</v>
      </c>
      <c r="CK25" s="38">
        <v>0</v>
      </c>
      <c r="CL25" s="38">
        <v>0</v>
      </c>
      <c r="CM25" s="38">
        <v>0</v>
      </c>
      <c r="CN25" s="38">
        <v>0</v>
      </c>
      <c r="CO25" s="38">
        <v>0</v>
      </c>
      <c r="CP25" s="38">
        <v>0</v>
      </c>
      <c r="CQ25" s="38">
        <v>0</v>
      </c>
      <c r="CR25" s="38">
        <v>0</v>
      </c>
      <c r="CS25" s="38">
        <v>0</v>
      </c>
      <c r="CT25" s="38">
        <v>0</v>
      </c>
      <c r="CU25" s="38">
        <v>0</v>
      </c>
      <c r="CV25" s="38">
        <v>0</v>
      </c>
      <c r="CW25" s="38">
        <v>0</v>
      </c>
      <c r="CX25" s="38">
        <v>0</v>
      </c>
      <c r="CY25" s="38">
        <v>0</v>
      </c>
      <c r="CZ25" s="38">
        <v>0</v>
      </c>
      <c r="DA25" s="38">
        <v>0</v>
      </c>
      <c r="DB25" s="38">
        <v>0</v>
      </c>
      <c r="DC25" s="38">
        <v>0</v>
      </c>
      <c r="DD25" s="38">
        <v>0</v>
      </c>
      <c r="DE25" s="38">
        <v>0</v>
      </c>
      <c r="DF25" s="38">
        <v>0</v>
      </c>
      <c r="DG25" s="38">
        <v>0</v>
      </c>
      <c r="DH25" s="38">
        <v>0</v>
      </c>
      <c r="DI25" s="38">
        <v>0</v>
      </c>
      <c r="DJ25" s="38">
        <v>0</v>
      </c>
      <c r="DK25" s="38">
        <v>0</v>
      </c>
      <c r="DL25" s="38">
        <v>0</v>
      </c>
      <c r="DM25" s="38">
        <v>0</v>
      </c>
      <c r="DN25" s="38">
        <v>0</v>
      </c>
      <c r="DO25" s="38">
        <v>0</v>
      </c>
      <c r="DP25" s="38">
        <v>0</v>
      </c>
      <c r="DQ25" s="38">
        <v>0</v>
      </c>
      <c r="DR25" s="38">
        <v>0</v>
      </c>
      <c r="DS25" s="38">
        <v>0</v>
      </c>
      <c r="DT25" s="38">
        <v>0</v>
      </c>
      <c r="DU25" s="38">
        <v>0</v>
      </c>
      <c r="DV25" s="38">
        <v>0</v>
      </c>
      <c r="DW25" s="38">
        <v>0</v>
      </c>
      <c r="DX25" s="38">
        <v>0</v>
      </c>
      <c r="DY25" s="38">
        <v>0</v>
      </c>
      <c r="DZ25" s="38">
        <v>0</v>
      </c>
      <c r="EA25" s="38">
        <v>0</v>
      </c>
      <c r="EB25" s="38">
        <v>0</v>
      </c>
      <c r="EC25" s="38">
        <v>0</v>
      </c>
      <c r="ED25" s="38">
        <v>0</v>
      </c>
      <c r="EE25" s="38">
        <v>0</v>
      </c>
      <c r="EF25" s="38">
        <v>0</v>
      </c>
      <c r="EG25" s="38">
        <v>0</v>
      </c>
      <c r="EH25" s="38">
        <v>0</v>
      </c>
      <c r="EI25" s="38">
        <v>0</v>
      </c>
      <c r="EJ25" s="38">
        <v>0</v>
      </c>
      <c r="EK25" s="38">
        <v>0</v>
      </c>
      <c r="EL25" s="38">
        <v>0</v>
      </c>
      <c r="EM25" s="38">
        <v>0</v>
      </c>
      <c r="EN25" s="38">
        <v>0</v>
      </c>
      <c r="EO25" s="38">
        <v>0</v>
      </c>
      <c r="EP25" s="38">
        <v>0</v>
      </c>
      <c r="EQ25" s="38">
        <v>0</v>
      </c>
      <c r="ER25" s="38">
        <v>0</v>
      </c>
      <c r="ES25" s="38">
        <v>0</v>
      </c>
      <c r="ET25" s="38">
        <v>0</v>
      </c>
      <c r="EU25" s="38">
        <v>0</v>
      </c>
      <c r="EV25" s="38">
        <v>0</v>
      </c>
      <c r="EW25" s="38">
        <v>0</v>
      </c>
      <c r="EX25" s="38">
        <v>0</v>
      </c>
      <c r="EY25" s="38">
        <v>0</v>
      </c>
      <c r="EZ25" s="38">
        <v>0</v>
      </c>
      <c r="FA25" s="38">
        <v>0</v>
      </c>
      <c r="FB25" s="38">
        <v>0</v>
      </c>
      <c r="FC25" s="38">
        <v>0</v>
      </c>
      <c r="FD25" s="38">
        <v>0</v>
      </c>
      <c r="FE25" s="38">
        <v>0</v>
      </c>
      <c r="FF25" s="38">
        <v>0</v>
      </c>
      <c r="FG25" s="38">
        <v>0</v>
      </c>
      <c r="FH25" s="38">
        <v>0</v>
      </c>
      <c r="FI25" s="38">
        <v>0</v>
      </c>
      <c r="FJ25" s="38">
        <v>0</v>
      </c>
      <c r="FK25" s="38">
        <v>0</v>
      </c>
      <c r="FL25" s="38">
        <v>0</v>
      </c>
      <c r="FM25" s="38">
        <v>0</v>
      </c>
      <c r="FN25" s="38">
        <v>0</v>
      </c>
      <c r="FO25" s="38">
        <v>0</v>
      </c>
      <c r="FP25" s="38">
        <v>0</v>
      </c>
      <c r="FQ25" s="38">
        <v>0</v>
      </c>
      <c r="FR25" s="38">
        <v>0</v>
      </c>
      <c r="FS25" s="38">
        <v>0</v>
      </c>
      <c r="FT25" s="38">
        <v>0</v>
      </c>
      <c r="FU25" s="38">
        <v>0</v>
      </c>
      <c r="FV25" s="38">
        <v>0</v>
      </c>
      <c r="FW25" s="38">
        <v>0</v>
      </c>
      <c r="FX25" s="38">
        <v>8</v>
      </c>
      <c r="FY25" s="38">
        <v>8</v>
      </c>
      <c r="FZ25" s="38">
        <v>8</v>
      </c>
      <c r="GA25" s="38">
        <v>8</v>
      </c>
      <c r="GB25" s="38">
        <v>8</v>
      </c>
      <c r="GC25" s="38">
        <v>12</v>
      </c>
    </row>
  </sheetData>
  <sheetProtection formatColumns="0" formatRows="0" insertRows="0" deleteColumns="0" deleteRows="0" sort="0" autoFilter="0"/>
  <mergeCells count="198">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BX16:BY16"/>
    <mergeCell ref="BZ13:CA15"/>
    <mergeCell ref="BZ16:CA16"/>
    <mergeCell ref="CB12:CC12"/>
    <mergeCell ref="CB13:CC15"/>
    <mergeCell ref="CB16:CC16"/>
    <mergeCell ref="CD13:CE15"/>
    <mergeCell ref="CD16:CE16"/>
    <mergeCell ref="CF13:CG15"/>
    <mergeCell ref="CF16:CG16"/>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s>
  <dataValidations count="1">
    <dataValidation allowBlank="1" showInputMessage="1" showErrorMessage="1" sqref="AA14:AB16 U16:Z16" xr:uid="{00000000-0002-0000-2B00-00000000000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DA165A-915E-C391-8A2E-EAA45E4E21B6}">
  <sheetPr>
    <tabColor theme="2" tint="-9.9978637043366805E-2"/>
  </sheetPr>
  <dimension ref="A1:T23"/>
  <sheetViews>
    <sheetView showGridLines="0" zoomScale="90" workbookViewId="0">
      <pane xSplit="7" ySplit="14" topLeftCell="H15" activePane="bottomRight" state="frozen"/>
      <selection pane="topRight" activeCell="H1" sqref="H1"/>
      <selection pane="bottomLeft" activeCell="A15" sqref="A15"/>
      <selection pane="bottomRight" activeCell="I22" sqref="I22"/>
    </sheetView>
  </sheetViews>
  <sheetFormatPr defaultColWidth="10.5703125" defaultRowHeight="15" customHeight="1"/>
  <cols>
    <col min="1" max="1" width="9.140625" style="7" hidden="1" customWidth="1"/>
    <col min="2" max="2" width="9.140625" style="4" hidden="1" customWidth="1"/>
    <col min="3" max="3" width="4" style="56" customWidth="1"/>
    <col min="4" max="4" width="6" style="4" customWidth="1"/>
    <col min="5" max="5" width="36" style="4" customWidth="1"/>
    <col min="6" max="6" width="9" style="4" customWidth="1"/>
    <col min="7" max="7" width="42.42578125" style="4" hidden="1" customWidth="1"/>
    <col min="8" max="8" width="40.7109375" style="4" customWidth="1"/>
    <col min="9" max="9" width="42.42578125" style="4" customWidth="1"/>
    <col min="10" max="10" width="93" style="43" customWidth="1"/>
    <col min="11" max="18" width="10" style="4" customWidth="1"/>
    <col min="19" max="19" width="10" style="166" customWidth="1"/>
    <col min="20" max="20" width="10.5703125" style="4" hidden="1"/>
  </cols>
  <sheetData>
    <row r="1" spans="1:20" s="43" customFormat="1" ht="15" hidden="1" customHeight="1">
      <c r="H1" s="43">
        <v>4</v>
      </c>
      <c r="S1" s="135"/>
      <c r="T1" s="43" t="s">
        <v>14</v>
      </c>
    </row>
    <row r="2" spans="1:20" ht="22.5" hidden="1" customHeight="1">
      <c r="C2" s="606" t="s">
        <v>123</v>
      </c>
      <c r="D2" s="31"/>
      <c r="E2" s="74"/>
      <c r="F2" s="29" t="str">
        <f>IF(TEMPLATE_SPHERE="HEAT","Гкал/час","тыс. куб. м/сутки")</f>
        <v>Гкал/час</v>
      </c>
      <c r="G2" s="214"/>
      <c r="H2" s="214"/>
      <c r="I2" s="214"/>
      <c r="J2" s="29"/>
      <c r="T2" s="4">
        <v>0</v>
      </c>
    </row>
    <row r="3" spans="1:20" s="43" customFormat="1" ht="15" hidden="1" customHeight="1">
      <c r="S3" s="135"/>
      <c r="T3" s="43">
        <v>0</v>
      </c>
    </row>
    <row r="4" spans="1:20" ht="15.75" customHeight="1">
      <c r="T4" s="4">
        <v>15</v>
      </c>
    </row>
    <row r="5" spans="1:20" ht="39.75" customHeight="1">
      <c r="D5" s="697" t="str">
        <f>TP_NAME_FORM</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E5" s="697"/>
      <c r="F5" s="697"/>
      <c r="G5" s="697"/>
      <c r="H5" s="697"/>
      <c r="I5" s="128"/>
      <c r="T5" s="4">
        <v>38</v>
      </c>
    </row>
    <row r="6" spans="1:20" ht="15.75" customHeight="1">
      <c r="D6" s="712" t="str">
        <f>IF(org=0,"Не определено",org)</f>
        <v>ООО "Восточная Тепловая компания"</v>
      </c>
      <c r="E6" s="712"/>
      <c r="F6" s="712"/>
      <c r="G6" s="712"/>
      <c r="H6" s="712"/>
      <c r="I6" s="358"/>
      <c r="T6" s="4">
        <v>15</v>
      </c>
    </row>
    <row r="7" spans="1:20" s="4" customFormat="1" ht="15.75" customHeight="1">
      <c r="A7" s="7"/>
      <c r="C7" s="56"/>
      <c r="H7" s="247"/>
      <c r="I7" s="4" t="s">
        <v>22</v>
      </c>
      <c r="J7" s="43"/>
      <c r="S7" s="166"/>
      <c r="T7" s="4">
        <v>15</v>
      </c>
    </row>
    <row r="8" spans="1:20" ht="1.1499999999999999" customHeight="1">
      <c r="H8" s="43" t="s">
        <v>118</v>
      </c>
      <c r="I8" s="4" t="s">
        <v>124</v>
      </c>
      <c r="T8" s="4">
        <v>1</v>
      </c>
    </row>
    <row r="9" spans="1:20" ht="15.75" customHeight="1">
      <c r="D9" s="217"/>
      <c r="E9" s="666" t="s">
        <v>106</v>
      </c>
      <c r="F9" s="661"/>
      <c r="G9" s="270" t="str">
        <f>IF(G8="","",INDEX(DIFFERENTIATION_UNMERGE_VD,MATCH(G8,DIFFERENTIATION_ID_DIFF,0)))</f>
        <v/>
      </c>
      <c r="H9" s="270" t="str">
        <f>IF(H8="","",INDEX(DIFFERENTIATION_UNMERGE_VD,MATCH(H8,DIFFERENTIATION_ID_DIFF,0)))</f>
        <v>Производство тепловой энергии. Некомбинированная выработка; Передача. Тепловая энергия; Сбыт. Тепловая энергия</v>
      </c>
      <c r="I9" s="270" t="str">
        <f>IF(I8="","",INDEX(DIFFERENTIATION_UNMERGE_VD,MATCH(I8,DIFFERENTIATION_ID_DIFF,0)))</f>
        <v>Производство. Теплоноситель; Передача. Теплоноситель; Сбыт. Теплоноситель</v>
      </c>
      <c r="J9" s="679" t="s">
        <v>304</v>
      </c>
      <c r="T9" s="4">
        <v>15</v>
      </c>
    </row>
    <row r="10" spans="1:20" s="4" customFormat="1" ht="15.75" customHeight="1">
      <c r="A10" s="7"/>
      <c r="C10" s="56"/>
      <c r="D10" s="217"/>
      <c r="E10" s="666" t="s">
        <v>567</v>
      </c>
      <c r="F10" s="661"/>
      <c r="G10" s="270" t="str">
        <f>IF(G8="","",INDEX(DIFFERENTIATION_UNMERGE_AREA,MATCH(G8,DIFFERENTIATION_ID_DIFF,0)))</f>
        <v/>
      </c>
      <c r="H10" s="270" t="str">
        <f>IF(H8="","",INDEX(DIFFERENTIATION_UNMERGE_AREA,MATCH(H8,DIFFERENTIATION_ID_DIFF,0)))</f>
        <v>Территория 1</v>
      </c>
      <c r="I10" s="270" t="str">
        <f>IF(I8="","",INDEX(DIFFERENTIATION_UNMERGE_AREA,MATCH(I8,DIFFERENTIATION_ID_DIFF,0)))</f>
        <v/>
      </c>
      <c r="J10" s="679"/>
      <c r="S10" s="166"/>
      <c r="T10" s="4">
        <v>15</v>
      </c>
    </row>
    <row r="11" spans="1:20" s="4" customFormat="1" ht="15.75" customHeight="1">
      <c r="A11" s="7"/>
      <c r="C11" s="56"/>
      <c r="D11" s="217"/>
      <c r="E11" s="666" t="s">
        <v>568</v>
      </c>
      <c r="F11" s="661"/>
      <c r="G11" s="270" t="str">
        <f>IF(G8="","",INDEX(DIFFERENTIATION_UNMERGE_SYSTEM,MATCH(G8,DIFFERENTIATION_ID_DIFF,0)))</f>
        <v/>
      </c>
      <c r="H11" s="270" t="str">
        <f>IF(H8="","",INDEX(DIFFERENTIATION_UNMERGE_SYSTEM,MATCH(H8,DIFFERENTIATION_ID_DIFF,0)))</f>
        <v>д. Кисловка</v>
      </c>
      <c r="I11" s="270" t="str">
        <f>IF(I8="","",INDEX(DIFFERENTIATION_UNMERGE_SYSTEM,MATCH(I8,DIFFERENTIATION_ID_DIFF,0)))</f>
        <v>д. Кисловка</v>
      </c>
      <c r="J11" s="679"/>
      <c r="S11" s="166"/>
      <c r="T11" s="4">
        <v>15</v>
      </c>
    </row>
    <row r="12" spans="1:20" s="4" customFormat="1" ht="15.75" customHeight="1">
      <c r="A12" s="7"/>
      <c r="C12" s="56"/>
      <c r="D12" s="662" t="s">
        <v>303</v>
      </c>
      <c r="E12" s="666"/>
      <c r="F12" s="666"/>
      <c r="G12" s="223"/>
      <c r="H12" s="223"/>
      <c r="I12" s="223"/>
      <c r="J12" s="679"/>
      <c r="S12" s="166"/>
      <c r="T12" s="4">
        <v>15</v>
      </c>
    </row>
    <row r="13" spans="1:20" ht="35.65" customHeight="1">
      <c r="D13" s="29" t="s">
        <v>88</v>
      </c>
      <c r="E13" s="29" t="s">
        <v>305</v>
      </c>
      <c r="F13" s="29" t="s">
        <v>569</v>
      </c>
      <c r="G13" s="217" t="s">
        <v>306</v>
      </c>
      <c r="H13" s="217" t="s">
        <v>306</v>
      </c>
      <c r="I13" s="217" t="s">
        <v>306</v>
      </c>
      <c r="J13" s="679"/>
      <c r="T13" s="4">
        <v>34</v>
      </c>
    </row>
    <row r="14" spans="1:20" ht="15" hidden="1" customHeight="1">
      <c r="D14" s="192" t="s">
        <v>110</v>
      </c>
      <c r="E14" s="192" t="s">
        <v>111</v>
      </c>
      <c r="F14" s="192" t="s">
        <v>90</v>
      </c>
      <c r="G14" s="56" t="str">
        <f>G1&amp;".1"</f>
        <v>.1</v>
      </c>
      <c r="H14" s="56" t="str">
        <f>H1&amp;".1"</f>
        <v>4.1</v>
      </c>
      <c r="I14" s="56" t="str">
        <f>I1&amp;".1"</f>
        <v>.1</v>
      </c>
      <c r="J14" s="29"/>
      <c r="T14" s="4">
        <v>0</v>
      </c>
    </row>
    <row r="15" spans="1:20" ht="15.75" customHeight="1">
      <c r="A15" s="4"/>
      <c r="C15" s="16"/>
      <c r="D15" s="29">
        <v>1</v>
      </c>
      <c r="E15" s="29" t="str">
        <f>TP_P_A</f>
        <v>Количество поданных заявок</v>
      </c>
      <c r="F15" s="29" t="s">
        <v>1118</v>
      </c>
      <c r="G15" s="218"/>
      <c r="H15" s="218">
        <v>0</v>
      </c>
      <c r="I15" s="218">
        <v>0</v>
      </c>
      <c r="J15" s="29" t="str">
        <f>TP_P_NOTE_A</f>
        <v>Указывается количество поданных заявок на подключение (технологическое присоединение) к системе теплоснабжения в течение отчетного квартала.</v>
      </c>
      <c r="T15" s="4">
        <v>15</v>
      </c>
    </row>
    <row r="16" spans="1:20" ht="15.75" customHeight="1">
      <c r="A16" s="4"/>
      <c r="C16" s="16"/>
      <c r="D16" s="29">
        <v>2</v>
      </c>
      <c r="E16" s="29" t="str">
        <f>TP_P_B</f>
        <v>Количество рассмотренных заявок</v>
      </c>
      <c r="F16" s="29" t="s">
        <v>1118</v>
      </c>
      <c r="G16" s="218"/>
      <c r="H16" s="218">
        <v>0</v>
      </c>
      <c r="I16" s="218">
        <v>0</v>
      </c>
      <c r="J16" s="29" t="str">
        <f>TP_P_NOTE_B</f>
        <v>Указывается количество исполненных заявок на подключение (технологическое присоединение) к системе теплоснабжения в течение отчетного квартала.</v>
      </c>
      <c r="T16" s="4">
        <v>15</v>
      </c>
    </row>
    <row r="17" spans="1:20" ht="77.650000000000006" customHeight="1">
      <c r="A17" s="4"/>
      <c r="C17" s="16"/>
      <c r="D17" s="29">
        <v>3</v>
      </c>
      <c r="E17" s="29" t="str">
        <f>TP_P_V</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F17" s="29" t="s">
        <v>1118</v>
      </c>
      <c r="G17" s="218"/>
      <c r="H17" s="218">
        <v>0</v>
      </c>
      <c r="I17" s="218">
        <v>0</v>
      </c>
      <c r="J17" s="29" t="str">
        <f>TP_P_NOTE_V</f>
        <v>Указывается количество заявок с решением об отказе в течение отчетного квартала.</v>
      </c>
      <c r="T17" s="4">
        <v>74</v>
      </c>
    </row>
    <row r="18" spans="1:20" ht="54.75" customHeight="1">
      <c r="A18" s="4"/>
      <c r="C18" s="16"/>
      <c r="D18" s="29">
        <v>4</v>
      </c>
      <c r="E18" s="29" t="str">
        <f>TP_P_V_1</f>
        <v>Причины отказа в заключении договора о подключении (технологическом присоединении) к системе теплоснабжения</v>
      </c>
      <c r="F18" s="29" t="s">
        <v>309</v>
      </c>
      <c r="G18" s="219"/>
      <c r="H18" s="219" t="s">
        <v>379</v>
      </c>
      <c r="I18" s="219" t="s">
        <v>379</v>
      </c>
      <c r="J18" s="29" t="str">
        <f>TP_P_NOTE_V_1</f>
        <v>Указывается текстовое описание причин принятия решений._x000D_
Не заполняется в случае, если решения об отказе в течение отчетного периода не принимались.</v>
      </c>
      <c r="T18" s="4">
        <v>52</v>
      </c>
    </row>
    <row r="19" spans="1:20" ht="60" customHeight="1">
      <c r="A19" s="4"/>
      <c r="C19" s="16"/>
      <c r="D19" s="29">
        <v>5</v>
      </c>
      <c r="E19" s="29" t="str">
        <f>TP_P_G</f>
        <v>Резерв мощности источников тепловой энергии, входящих в систему теплоснабжения, в течение одного квартала, в том числе:</v>
      </c>
      <c r="F19" s="29" t="str">
        <f>IF(TEMPLATE_SPHERE="HEAT","Гкал/час","тыс. куб. м/сутки")</f>
        <v>Гкал/час</v>
      </c>
      <c r="G19" s="220">
        <f>SUM(G20:G22)</f>
        <v>0</v>
      </c>
      <c r="H19" s="220">
        <f>SUM(H20:H22)</f>
        <v>21.38</v>
      </c>
      <c r="I19" s="220">
        <f>SUM(I20:I22)</f>
        <v>0</v>
      </c>
      <c r="J19" s="29" t="str">
        <f>TP_P_NOTE_G</f>
        <v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T19" s="4">
        <v>57</v>
      </c>
    </row>
    <row r="20" spans="1:20" ht="15" hidden="1" customHeight="1">
      <c r="D20" s="4" t="s">
        <v>1119</v>
      </c>
      <c r="J20" s="565"/>
      <c r="T20" s="4">
        <v>0</v>
      </c>
    </row>
    <row r="21" spans="1:20" ht="29.25" customHeight="1">
      <c r="C21" s="16"/>
      <c r="D21" s="31" t="s">
        <v>316</v>
      </c>
      <c r="E21" s="74" t="s">
        <v>1120</v>
      </c>
      <c r="F21" s="29" t="str">
        <f>IF(TEMPLATE_SPHERE="HEAT","Гкал/час","тыс. куб. м/сутки")</f>
        <v>Гкал/час</v>
      </c>
      <c r="G21" s="214"/>
      <c r="H21" s="214">
        <v>21.38</v>
      </c>
      <c r="I21" s="214"/>
      <c r="J21" s="673" t="str">
        <f>TP_P_NOTE_G_1</f>
        <v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T21" s="4">
        <v>28</v>
      </c>
    </row>
    <row r="22" spans="1:20" ht="15.75" customHeight="1">
      <c r="A22" s="4"/>
      <c r="C22" s="4"/>
      <c r="D22" s="28"/>
      <c r="E22" s="37" t="s">
        <v>1121</v>
      </c>
      <c r="F22" s="185"/>
      <c r="G22" s="185"/>
      <c r="H22" s="185"/>
      <c r="I22" s="185"/>
      <c r="J22" s="676"/>
      <c r="S22" s="4"/>
      <c r="T22" s="4">
        <v>15</v>
      </c>
    </row>
    <row r="23" spans="1:20" ht="22.5" hidden="1" customHeight="1">
      <c r="A23" s="7" t="s">
        <v>82</v>
      </c>
      <c r="B23" s="4">
        <v>0</v>
      </c>
      <c r="C23" s="56">
        <v>4</v>
      </c>
      <c r="D23" s="4">
        <v>6</v>
      </c>
      <c r="E23" s="4">
        <v>36</v>
      </c>
      <c r="F23" s="4">
        <v>9</v>
      </c>
      <c r="G23" s="4">
        <v>0</v>
      </c>
      <c r="H23" s="4">
        <v>40</v>
      </c>
      <c r="I23" s="4">
        <v>0</v>
      </c>
      <c r="J23" s="43">
        <v>93</v>
      </c>
      <c r="K23" s="4">
        <v>10</v>
      </c>
      <c r="L23" s="4">
        <v>10</v>
      </c>
      <c r="M23" s="4">
        <v>10</v>
      </c>
      <c r="N23" s="4">
        <v>10</v>
      </c>
      <c r="O23" s="4">
        <v>10</v>
      </c>
      <c r="P23" s="4">
        <v>10</v>
      </c>
      <c r="Q23" s="4">
        <v>10</v>
      </c>
      <c r="R23" s="4">
        <v>10</v>
      </c>
      <c r="S23" s="166">
        <v>10</v>
      </c>
      <c r="T23" s="4">
        <v>23</v>
      </c>
    </row>
  </sheetData>
  <sheetProtection formatColumns="0" formatRows="0" insertRows="0" deleteColumns="0" deleteRows="0" sort="0" autoFilter="0"/>
  <mergeCells count="8">
    <mergeCell ref="J21:J22"/>
    <mergeCell ref="J9:J13"/>
    <mergeCell ref="D5:H5"/>
    <mergeCell ref="D6:H6"/>
    <mergeCell ref="E9:F9"/>
    <mergeCell ref="E10:F10"/>
    <mergeCell ref="E11:F11"/>
    <mergeCell ref="D12:F12"/>
  </mergeCells>
  <dataValidations count="4">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xr:uid="{00000000-0002-0000-2C00-000000000000}"/>
    <dataValidation type="textLength" operator="lessThanOrEqual" allowBlank="1" showInputMessage="1" showErrorMessage="1" errorTitle="Ошибка" error="Допускается ввод не более 900 символов!" sqref="E21 E2 G18:I18" xr:uid="{00000000-0002-0000-2C00-000001000000}">
      <formula1>900</formula1>
    </dataValidation>
    <dataValidation type="whole" allowBlank="1" showErrorMessage="1" errorTitle="Ошибка" error="Допускается ввод только неотрицательных целых чисел!" sqref="G15:I17" xr:uid="{00000000-0002-0000-2C00-000002000000}">
      <formula1>0</formula1>
      <formula2>9.99999999999999E+23</formula2>
    </dataValidation>
    <dataValidation type="decimal" allowBlank="1" showErrorMessage="1" errorTitle="Ошибка" error="Допускается ввод только действительных чисел!" sqref="G2:I2 G21:I21" xr:uid="{00000000-0002-0000-2C00-000003000000}">
      <formula1>-9.99999999999999E+23</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5E8D4D-B95D-D842-D3D1-318D9BF9DA0F}">
  <sheetPr>
    <tabColor theme="6" tint="0.39997558519241921"/>
    <pageSetUpPr fitToPage="1"/>
  </sheetPr>
  <dimension ref="A1:Q32"/>
  <sheetViews>
    <sheetView showGridLines="0" zoomScale="90" workbookViewId="0">
      <pane xSplit="5" ySplit="13" topLeftCell="F14" activePane="bottomRight" state="frozen"/>
      <selection pane="topRight" activeCell="F1" sqref="F1"/>
      <selection pane="bottomLeft" activeCell="A14" sqref="A14"/>
      <selection pane="bottomRight"/>
    </sheetView>
  </sheetViews>
  <sheetFormatPr defaultColWidth="10.5703125" defaultRowHeight="14.25" customHeight="1"/>
  <cols>
    <col min="1" max="1" width="9.140625" style="23" hidden="1" customWidth="1"/>
    <col min="2" max="2" width="9.140625" style="43" hidden="1" customWidth="1"/>
    <col min="3" max="3" width="3" style="20" customWidth="1"/>
    <col min="4" max="4" width="6" style="4" customWidth="1"/>
    <col min="5" max="6" width="64" style="4" customWidth="1"/>
    <col min="7" max="7" width="140" style="4" customWidth="1"/>
    <col min="8" max="8" width="10" style="4" customWidth="1"/>
    <col min="9" max="10" width="10" style="46" customWidth="1"/>
    <col min="11" max="16" width="10" style="4" customWidth="1"/>
    <col min="17" max="17" width="10.5703125" style="4" hidden="1"/>
  </cols>
  <sheetData>
    <row r="1" spans="1:17" ht="22.5" hidden="1" customHeight="1">
      <c r="Q1" s="4" t="s">
        <v>14</v>
      </c>
    </row>
    <row r="2" spans="1:17" ht="14.25" hidden="1" customHeight="1">
      <c r="Q2" s="4">
        <v>0</v>
      </c>
    </row>
    <row r="3" spans="1:17" ht="14.25" hidden="1" customHeight="1">
      <c r="Q3" s="4">
        <v>0</v>
      </c>
    </row>
    <row r="4" spans="1:17" ht="3" customHeight="1">
      <c r="C4" s="19"/>
      <c r="D4" s="6"/>
      <c r="E4" s="6"/>
      <c r="F4" s="6"/>
      <c r="G4" s="6"/>
      <c r="Q4" s="4">
        <v>3</v>
      </c>
    </row>
    <row r="5" spans="1:17" ht="29.25" customHeight="1">
      <c r="C5" s="19"/>
      <c r="D5" s="672" t="str">
        <f>TERMS_NAME_FORM</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E5" s="673"/>
      <c r="F5" s="673"/>
      <c r="G5" s="674"/>
      <c r="Q5" s="4">
        <v>28</v>
      </c>
    </row>
    <row r="6" spans="1:17" s="4" customFormat="1" ht="18.75" customHeight="1">
      <c r="A6" s="23"/>
      <c r="B6" s="43"/>
      <c r="C6" s="19"/>
      <c r="D6" s="675" t="str">
        <f>IF(org=0,"Не определено",org)</f>
        <v>ООО "Восточная Тепловая компания"</v>
      </c>
      <c r="E6" s="676"/>
      <c r="F6" s="676"/>
      <c r="G6" s="677"/>
      <c r="I6" s="46"/>
      <c r="J6" s="46"/>
      <c r="Q6" s="4">
        <v>18</v>
      </c>
    </row>
    <row r="7" spans="1:17" ht="14.65" customHeight="1">
      <c r="C7" s="19"/>
      <c r="D7" s="6"/>
      <c r="E7" s="6"/>
      <c r="F7" s="247"/>
      <c r="G7" s="6"/>
      <c r="Q7" s="4">
        <v>14</v>
      </c>
    </row>
    <row r="8" spans="1:17" s="4" customFormat="1" ht="1.1499999999999999" customHeight="1">
      <c r="A8" s="23"/>
      <c r="B8" s="43"/>
      <c r="C8" s="19"/>
      <c r="D8" s="6"/>
      <c r="E8" s="6"/>
      <c r="F8" s="247"/>
      <c r="G8" s="6"/>
      <c r="I8" s="46"/>
      <c r="J8" s="46"/>
      <c r="Q8" s="4">
        <v>1</v>
      </c>
    </row>
    <row r="9" spans="1:17" ht="14.65" customHeight="1">
      <c r="C9" s="19"/>
      <c r="D9" s="722" t="s">
        <v>303</v>
      </c>
      <c r="E9" s="722"/>
      <c r="F9" s="722"/>
      <c r="G9" s="722" t="s">
        <v>304</v>
      </c>
      <c r="Q9" s="4">
        <v>14</v>
      </c>
    </row>
    <row r="10" spans="1:17" ht="24" customHeight="1">
      <c r="C10" s="19"/>
      <c r="D10" s="24" t="s">
        <v>88</v>
      </c>
      <c r="E10" s="27" t="s">
        <v>305</v>
      </c>
      <c r="F10" s="27" t="s">
        <v>393</v>
      </c>
      <c r="G10" s="722"/>
      <c r="Q10" s="4">
        <v>23</v>
      </c>
    </row>
    <row r="11" spans="1:17" ht="12" hidden="1" customHeight="1">
      <c r="C11" s="19"/>
      <c r="D11" s="14"/>
      <c r="E11" s="14"/>
      <c r="F11" s="14"/>
      <c r="G11" s="14"/>
      <c r="Q11" s="4">
        <v>0</v>
      </c>
    </row>
    <row r="12" spans="1:17" ht="65.25" customHeight="1">
      <c r="A12" s="4"/>
      <c r="C12" s="19"/>
      <c r="D12" s="44">
        <v>1</v>
      </c>
      <c r="E12" s="27" t="str">
        <f>TERMS_P_1</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F12" s="27" t="s">
        <v>309</v>
      </c>
      <c r="G12" s="29"/>
      <c r="Q12" s="4">
        <v>62</v>
      </c>
    </row>
    <row r="13" spans="1:17" ht="24" customHeight="1">
      <c r="A13" s="4"/>
      <c r="C13" s="19"/>
      <c r="D13" s="44" t="s">
        <v>1025</v>
      </c>
      <c r="E13" s="27"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27" t="s">
        <v>309</v>
      </c>
      <c r="G13" s="29"/>
      <c r="Q13" s="4">
        <v>23</v>
      </c>
    </row>
    <row r="14" spans="1:17" ht="14.65" customHeight="1">
      <c r="A14" s="4"/>
      <c r="C14" s="19"/>
      <c r="D14" s="44" t="s">
        <v>1061</v>
      </c>
      <c r="E14" s="67"/>
      <c r="F14" s="72"/>
      <c r="G14" s="673"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4">
        <v>14</v>
      </c>
    </row>
    <row r="15" spans="1:17" ht="15.75" customHeight="1">
      <c r="A15" s="4"/>
      <c r="C15" s="19"/>
      <c r="D15" s="28"/>
      <c r="E15" s="37" t="s">
        <v>1122</v>
      </c>
      <c r="F15" s="68"/>
      <c r="G15" s="676"/>
      <c r="Q15" s="4">
        <v>15</v>
      </c>
    </row>
    <row r="16" spans="1:17" ht="14.65" customHeight="1">
      <c r="A16" s="4"/>
      <c r="C16" s="19"/>
      <c r="D16" s="44" t="s">
        <v>1027</v>
      </c>
      <c r="E16" s="27"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системе теплоснабжения</v>
      </c>
      <c r="F16" s="27" t="s">
        <v>309</v>
      </c>
      <c r="G16" s="100"/>
      <c r="Q16" s="4">
        <v>14</v>
      </c>
    </row>
    <row r="17" spans="1:17" ht="14.65" customHeight="1">
      <c r="A17" s="4"/>
      <c r="C17" s="19"/>
      <c r="D17" s="44" t="s">
        <v>1069</v>
      </c>
      <c r="E17" s="67"/>
      <c r="F17" s="124"/>
      <c r="G17" s="673"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организация осуществляет услуги по подключению (технологическому присоединению) к системе теплоснабжения.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системе теплоснабжения информация по каждому из них указывается в отдельной строке.</v>
      </c>
      <c r="Q17" s="4">
        <v>14</v>
      </c>
    </row>
    <row r="18" spans="1:17" s="4" customFormat="1" ht="21.95" customHeight="1">
      <c r="B18" s="43"/>
      <c r="C18" s="19"/>
      <c r="D18" s="28"/>
      <c r="E18" s="37" t="s">
        <v>1123</v>
      </c>
      <c r="F18" s="36"/>
      <c r="G18" s="676"/>
      <c r="I18" s="46"/>
      <c r="J18" s="46"/>
      <c r="Q18" s="4">
        <v>21</v>
      </c>
    </row>
    <row r="19" spans="1:17" s="4" customFormat="1" ht="256.5" hidden="1" customHeight="1">
      <c r="B19" s="43"/>
      <c r="C19" s="19"/>
      <c r="D19" s="44" t="s">
        <v>1029</v>
      </c>
      <c r="E19" s="27" t="s">
        <v>1124</v>
      </c>
      <c r="F19" s="124"/>
      <c r="G19" s="100" t="s">
        <v>1125</v>
      </c>
      <c r="I19" s="46"/>
      <c r="J19" s="46"/>
      <c r="Q19" s="4">
        <v>0</v>
      </c>
    </row>
    <row r="20" spans="1:17" s="4" customFormat="1" ht="14.65" customHeight="1">
      <c r="B20" s="43"/>
      <c r="C20" s="19"/>
      <c r="D20" s="99">
        <v>2</v>
      </c>
      <c r="E20" s="27" t="s">
        <v>1126</v>
      </c>
      <c r="F20" s="27" t="s">
        <v>309</v>
      </c>
      <c r="G20" s="100"/>
      <c r="I20" s="46"/>
      <c r="J20" s="46"/>
      <c r="Q20" s="4">
        <v>14</v>
      </c>
    </row>
    <row r="21" spans="1:17" s="4" customFormat="1" ht="18.75" hidden="1" customHeight="1">
      <c r="B21" s="43"/>
      <c r="C21" s="19"/>
      <c r="D21" s="114" t="s">
        <v>640</v>
      </c>
      <c r="E21" s="113"/>
      <c r="F21" s="112"/>
      <c r="G21" s="100"/>
      <c r="H21" s="115"/>
      <c r="I21" s="46"/>
      <c r="J21" s="46"/>
      <c r="Q21" s="4">
        <v>0</v>
      </c>
    </row>
    <row r="22" spans="1:17" ht="15.75" customHeight="1">
      <c r="A22" s="4"/>
      <c r="C22" s="19"/>
      <c r="D22" s="28"/>
      <c r="E22" s="37" t="s">
        <v>325</v>
      </c>
      <c r="F22" s="36"/>
      <c r="G22" s="101"/>
      <c r="Q22" s="4">
        <v>15</v>
      </c>
    </row>
    <row r="23" spans="1:17" s="4" customFormat="1" ht="22.5" hidden="1" customHeight="1">
      <c r="B23" s="43"/>
      <c r="C23" s="19"/>
      <c r="D23" s="44" t="s">
        <v>111</v>
      </c>
      <c r="E23" s="27" t="s">
        <v>1127</v>
      </c>
      <c r="F23" s="27" t="s">
        <v>309</v>
      </c>
      <c r="G23" s="29"/>
      <c r="I23" s="46"/>
      <c r="J23" s="46"/>
      <c r="Q23" s="4">
        <v>0</v>
      </c>
    </row>
    <row r="24" spans="1:17" s="4" customFormat="1" ht="14.25" hidden="1" customHeight="1">
      <c r="B24" s="43"/>
      <c r="C24" s="19"/>
      <c r="D24" s="44" t="s">
        <v>712</v>
      </c>
      <c r="E24" s="27" t="s">
        <v>1128</v>
      </c>
      <c r="F24" s="27" t="s">
        <v>309</v>
      </c>
      <c r="G24" s="100"/>
      <c r="I24" s="46"/>
      <c r="J24" s="46"/>
      <c r="Q24" s="4">
        <v>0</v>
      </c>
    </row>
    <row r="25" spans="1:17" s="4" customFormat="1" ht="14.25" hidden="1" customHeight="1">
      <c r="B25" s="43"/>
      <c r="C25" s="19"/>
      <c r="D25" s="44" t="s">
        <v>715</v>
      </c>
      <c r="E25" s="67"/>
      <c r="F25" s="124"/>
      <c r="G25" s="673" t="s">
        <v>1129</v>
      </c>
      <c r="I25" s="46"/>
      <c r="J25" s="46"/>
      <c r="Q25" s="4">
        <v>0</v>
      </c>
    </row>
    <row r="26" spans="1:17" s="4" customFormat="1" ht="22.5" hidden="1" customHeight="1">
      <c r="B26" s="43"/>
      <c r="C26" s="19"/>
      <c r="D26" s="28"/>
      <c r="E26" s="37" t="s">
        <v>1130</v>
      </c>
      <c r="F26" s="36"/>
      <c r="G26" s="676"/>
      <c r="I26" s="46"/>
      <c r="J26" s="46"/>
      <c r="Q26" s="4">
        <v>0</v>
      </c>
    </row>
    <row r="27" spans="1:17" ht="3" customHeight="1">
      <c r="Q27" s="4">
        <v>3</v>
      </c>
    </row>
    <row r="28" spans="1:17" ht="14.65" customHeight="1">
      <c r="I28" s="4"/>
      <c r="J28" s="4"/>
      <c r="Q28" s="4">
        <v>14</v>
      </c>
    </row>
    <row r="29" spans="1:17" ht="14.65" customHeight="1">
      <c r="Q29" s="4">
        <v>14</v>
      </c>
    </row>
    <row r="30" spans="1:17" ht="14.65" customHeight="1">
      <c r="Q30" s="4">
        <v>14</v>
      </c>
    </row>
    <row r="31" spans="1:17" ht="14.65" customHeight="1">
      <c r="Q31" s="4">
        <v>14</v>
      </c>
    </row>
    <row r="32" spans="1:17" ht="22.5" hidden="1" customHeight="1">
      <c r="A32" s="23" t="s">
        <v>82</v>
      </c>
      <c r="B32" s="43">
        <v>0</v>
      </c>
      <c r="C32" s="20">
        <v>3</v>
      </c>
      <c r="D32" s="4">
        <v>6</v>
      </c>
      <c r="E32" s="4">
        <v>64</v>
      </c>
      <c r="F32" s="4">
        <v>64</v>
      </c>
      <c r="G32" s="4">
        <v>140</v>
      </c>
      <c r="H32" s="4">
        <v>10</v>
      </c>
      <c r="I32" s="46">
        <v>10</v>
      </c>
      <c r="J32" s="46">
        <v>10</v>
      </c>
      <c r="K32" s="4">
        <v>10</v>
      </c>
      <c r="L32" s="4">
        <v>10</v>
      </c>
      <c r="M32" s="4">
        <v>10</v>
      </c>
      <c r="N32" s="4">
        <v>10</v>
      </c>
      <c r="O32" s="4">
        <v>10</v>
      </c>
      <c r="P32" s="4">
        <v>10</v>
      </c>
      <c r="Q32" s="4">
        <v>23</v>
      </c>
    </row>
  </sheetData>
  <sheetProtection formatColumns="0" formatRows="0" insertRows="0" deleteColumns="0" deleteRows="0" sort="0" autoFilter="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4 F17:F19 F25:F26" xr:uid="{00000000-0002-0000-2D00-000000000000}">
      <formula1>900</formula1>
    </dataValidation>
    <dataValidation type="textLength" operator="lessThanOrEqual" allowBlank="1" showInputMessage="1" showErrorMessage="1" errorTitle="Ошибка" error="Допускается ввод не более 900 символов!" sqref="G14 G25 E17 E14 G17 G21 E25" xr:uid="{00000000-0002-0000-2D00-000001000000}">
      <formula1>900</formula1>
    </dataValidation>
  </dataValidations>
  <printOptions horizontalCentered="1" verticalCentered="1"/>
  <pageMargins left="0" right="0" top="0" bottom="0" header="0" footer="0.79"/>
  <pageSetup paperSize="9" scale="41" fitToHeight="0" orientation="portrait" blackAndWhite="1"/>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6B018A-1A3C-E80C-E39C-553DC273F397}">
  <sheetPr>
    <tabColor theme="6" tint="0.39997558519241921"/>
  </sheetPr>
  <dimension ref="A1:M43"/>
  <sheetViews>
    <sheetView showGridLines="0" zoomScale="90" workbookViewId="0">
      <pane xSplit="6" ySplit="21" topLeftCell="G22" activePane="bottomRight" state="frozen"/>
      <selection pane="topRight" activeCell="G1" sqref="G1"/>
      <selection pane="bottomLeft" activeCell="A22" sqref="A22"/>
      <selection pane="bottomRight"/>
    </sheetView>
  </sheetViews>
  <sheetFormatPr defaultColWidth="10.5703125" defaultRowHeight="14.25" customHeight="1"/>
  <cols>
    <col min="1" max="1" width="9.140625" style="167" hidden="1" customWidth="1"/>
    <col min="2" max="2" width="9.140625" style="43" hidden="1" customWidth="1"/>
    <col min="3" max="3" width="3" style="20" customWidth="1"/>
    <col min="4" max="4" width="6" style="4" customWidth="1"/>
    <col min="5" max="5" width="63" style="4" customWidth="1"/>
    <col min="6" max="6" width="1.7109375" style="4" hidden="1" customWidth="1"/>
    <col min="7" max="8" width="35" style="4" customWidth="1"/>
    <col min="9" max="9" width="91" style="4" customWidth="1"/>
    <col min="10" max="10" width="68" style="4" customWidth="1"/>
    <col min="11" max="12" width="10" style="46" customWidth="1"/>
    <col min="13" max="13" width="10.5703125" style="4" hidden="1"/>
  </cols>
  <sheetData>
    <row r="1" spans="1:13" ht="22.5" hidden="1" customHeight="1">
      <c r="M1" s="4" t="s">
        <v>14</v>
      </c>
    </row>
    <row r="2" spans="1:13" s="4" customFormat="1" ht="18.75" hidden="1" customHeight="1">
      <c r="A2" s="43"/>
      <c r="B2" s="43"/>
      <c r="C2" s="542" t="s">
        <v>123</v>
      </c>
      <c r="D2" s="44"/>
      <c r="E2" s="67"/>
      <c r="F2" s="27"/>
      <c r="G2" s="27" t="s">
        <v>309</v>
      </c>
      <c r="H2" s="72"/>
      <c r="K2" s="46"/>
      <c r="L2" s="46"/>
      <c r="M2" s="4">
        <v>0</v>
      </c>
    </row>
    <row r="3" spans="1:13" s="4" customFormat="1" ht="14.25" hidden="1" customHeight="1">
      <c r="A3" s="167"/>
      <c r="B3" s="43"/>
      <c r="C3" s="20"/>
      <c r="K3" s="46"/>
      <c r="L3" s="46"/>
      <c r="M3" s="4">
        <v>0</v>
      </c>
    </row>
    <row r="4" spans="1:13" s="4" customFormat="1" ht="18.75" hidden="1" customHeight="1">
      <c r="A4" s="43"/>
      <c r="B4" s="43"/>
      <c r="C4" s="542" t="s">
        <v>123</v>
      </c>
      <c r="D4" s="44"/>
      <c r="E4" s="27" t="s">
        <v>1131</v>
      </c>
      <c r="F4" s="27"/>
      <c r="G4" s="67"/>
      <c r="H4" s="27" t="s">
        <v>309</v>
      </c>
      <c r="K4" s="46"/>
      <c r="L4" s="46"/>
      <c r="M4" s="4">
        <v>0</v>
      </c>
    </row>
    <row r="5" spans="1:13" s="4" customFormat="1" ht="14.25" hidden="1" customHeight="1">
      <c r="A5" s="167"/>
      <c r="B5" s="43"/>
      <c r="C5" s="20"/>
      <c r="K5" s="46"/>
      <c r="L5" s="46"/>
      <c r="M5" s="4">
        <v>0</v>
      </c>
    </row>
    <row r="6" spans="1:13" s="4" customFormat="1" ht="18.75" hidden="1" customHeight="1">
      <c r="A6" s="43"/>
      <c r="B6" s="43"/>
      <c r="C6" s="542" t="s">
        <v>123</v>
      </c>
      <c r="D6" s="44"/>
      <c r="E6" s="27" t="s">
        <v>1132</v>
      </c>
      <c r="F6" s="27"/>
      <c r="G6" s="67"/>
      <c r="H6" s="27" t="s">
        <v>309</v>
      </c>
      <c r="K6" s="46"/>
      <c r="L6" s="46"/>
      <c r="M6" s="4">
        <v>0</v>
      </c>
    </row>
    <row r="7" spans="1:13" s="4" customFormat="1" ht="14.25" hidden="1" customHeight="1">
      <c r="A7" s="167"/>
      <c r="B7" s="43"/>
      <c r="C7" s="20"/>
      <c r="K7" s="46"/>
      <c r="L7" s="46"/>
      <c r="M7" s="4">
        <v>0</v>
      </c>
    </row>
    <row r="8" spans="1:13" s="4" customFormat="1" ht="18.75" hidden="1" customHeight="1">
      <c r="A8" s="43"/>
      <c r="B8" s="43"/>
      <c r="C8" s="542" t="s">
        <v>123</v>
      </c>
      <c r="D8" s="44"/>
      <c r="E8" s="27" t="s">
        <v>1133</v>
      </c>
      <c r="F8" s="27"/>
      <c r="G8" s="67"/>
      <c r="H8" s="27" t="s">
        <v>309</v>
      </c>
      <c r="K8" s="46"/>
      <c r="L8" s="46"/>
      <c r="M8" s="4">
        <v>0</v>
      </c>
    </row>
    <row r="9" spans="1:13" s="4" customFormat="1" ht="14.25" hidden="1" customHeight="1">
      <c r="A9" s="167"/>
      <c r="B9" s="43"/>
      <c r="C9" s="20"/>
      <c r="K9" s="46"/>
      <c r="L9" s="46"/>
      <c r="M9" s="4">
        <v>0</v>
      </c>
    </row>
    <row r="10" spans="1:13" s="4" customFormat="1" ht="18.75" hidden="1" customHeight="1">
      <c r="A10" s="43"/>
      <c r="B10" s="43"/>
      <c r="C10" s="542" t="s">
        <v>123</v>
      </c>
      <c r="D10" s="44"/>
      <c r="E10" s="27" t="s">
        <v>1134</v>
      </c>
      <c r="F10" s="27"/>
      <c r="G10" s="69"/>
      <c r="H10" s="27" t="s">
        <v>309</v>
      </c>
      <c r="K10" s="46"/>
      <c r="L10" s="46" t="s">
        <v>1135</v>
      </c>
      <c r="M10" s="4">
        <v>0</v>
      </c>
    </row>
    <row r="11" spans="1:13" ht="14.25" hidden="1" customHeight="1">
      <c r="M11" s="4">
        <v>0</v>
      </c>
    </row>
    <row r="12" spans="1:13" ht="14.25" hidden="1" customHeight="1">
      <c r="M12" s="4">
        <v>0</v>
      </c>
    </row>
    <row r="13" spans="1:13" ht="14.65" customHeight="1">
      <c r="C13" s="19"/>
      <c r="D13" s="6"/>
      <c r="E13" s="6"/>
      <c r="F13" s="6"/>
      <c r="G13" s="6"/>
      <c r="H13" s="6"/>
      <c r="I13" s="6"/>
      <c r="M13" s="4">
        <v>14</v>
      </c>
    </row>
    <row r="14" spans="1:13" ht="29.25" customHeight="1">
      <c r="C14" s="19"/>
      <c r="D14" s="672" t="str">
        <f>PROCEDURE_TC_NAME_FORM</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E14" s="673"/>
      <c r="F14" s="673"/>
      <c r="G14" s="673"/>
      <c r="H14" s="674"/>
      <c r="M14" s="4">
        <v>28</v>
      </c>
    </row>
    <row r="15" spans="1:13" s="4" customFormat="1" ht="14.65" customHeight="1">
      <c r="A15" s="167"/>
      <c r="B15" s="43"/>
      <c r="C15" s="19"/>
      <c r="D15" s="675" t="str">
        <f>IF(org=0,"Не определено",org)</f>
        <v>ООО "Восточная Тепловая компания"</v>
      </c>
      <c r="E15" s="676"/>
      <c r="F15" s="676"/>
      <c r="G15" s="676"/>
      <c r="H15" s="677"/>
      <c r="J15" s="231"/>
      <c r="K15" s="46"/>
      <c r="L15" s="46"/>
      <c r="M15" s="4">
        <v>14</v>
      </c>
    </row>
    <row r="16" spans="1:13" ht="14.65" customHeight="1">
      <c r="C16" s="19"/>
      <c r="D16" s="6"/>
      <c r="E16" s="6"/>
      <c r="F16" s="6"/>
      <c r="G16" s="6"/>
      <c r="H16" s="247"/>
      <c r="I16" s="6"/>
      <c r="M16" s="4">
        <v>14</v>
      </c>
    </row>
    <row r="17" spans="1:13" s="4" customFormat="1" ht="14.25" hidden="1" customHeight="1">
      <c r="A17" s="167"/>
      <c r="B17" s="43"/>
      <c r="C17" s="19"/>
      <c r="D17" s="6"/>
      <c r="E17" s="6"/>
      <c r="F17" s="6"/>
      <c r="G17" s="6"/>
      <c r="H17" s="247"/>
      <c r="I17" s="6"/>
      <c r="K17" s="46"/>
      <c r="L17" s="46"/>
      <c r="M17" s="4">
        <v>0</v>
      </c>
    </row>
    <row r="18" spans="1:13" ht="21.95" customHeight="1">
      <c r="C18" s="19"/>
      <c r="D18" s="722" t="s">
        <v>303</v>
      </c>
      <c r="E18" s="722"/>
      <c r="F18" s="722"/>
      <c r="G18" s="722"/>
      <c r="H18" s="722"/>
      <c r="I18" s="722" t="s">
        <v>304</v>
      </c>
      <c r="M18" s="4">
        <v>21</v>
      </c>
    </row>
    <row r="19" spans="1:13" ht="21.95" customHeight="1">
      <c r="C19" s="19"/>
      <c r="D19" s="24" t="s">
        <v>88</v>
      </c>
      <c r="E19" s="27" t="s">
        <v>305</v>
      </c>
      <c r="F19" s="27"/>
      <c r="G19" s="27" t="s">
        <v>306</v>
      </c>
      <c r="H19" s="27" t="s">
        <v>393</v>
      </c>
      <c r="I19" s="722"/>
      <c r="M19" s="4">
        <v>21</v>
      </c>
    </row>
    <row r="20" spans="1:13" ht="12" hidden="1" customHeight="1">
      <c r="C20" s="19"/>
      <c r="D20" s="14"/>
      <c r="E20" s="14"/>
      <c r="F20" s="14"/>
      <c r="G20" s="14"/>
      <c r="H20" s="14"/>
      <c r="I20" s="14"/>
      <c r="M20" s="4">
        <v>0</v>
      </c>
    </row>
    <row r="21" spans="1:13" ht="14.65" customHeight="1">
      <c r="A21" s="43"/>
      <c r="C21" s="19"/>
      <c r="D21" s="44">
        <v>1</v>
      </c>
      <c r="E21" s="698" t="s">
        <v>1136</v>
      </c>
      <c r="F21" s="698"/>
      <c r="G21" s="698"/>
      <c r="H21" s="698"/>
      <c r="I21" s="29"/>
      <c r="M21" s="4">
        <v>14</v>
      </c>
    </row>
    <row r="22" spans="1:13" ht="21" customHeight="1">
      <c r="A22" s="43"/>
      <c r="C22" s="19"/>
      <c r="D22" s="44" t="s">
        <v>1025</v>
      </c>
      <c r="E22" s="27" t="s">
        <v>1137</v>
      </c>
      <c r="F22" s="27"/>
      <c r="G22" s="544"/>
      <c r="H22" s="27" t="s">
        <v>309</v>
      </c>
      <c r="I22" s="29" t="s">
        <v>1138</v>
      </c>
      <c r="M22" s="4">
        <v>20</v>
      </c>
    </row>
    <row r="23" spans="1:13" ht="60" customHeight="1">
      <c r="A23" s="43"/>
      <c r="C23" s="19"/>
      <c r="D23" s="44" t="s">
        <v>1027</v>
      </c>
      <c r="E23" s="27" t="s">
        <v>1139</v>
      </c>
      <c r="F23" s="27"/>
      <c r="G23" s="67"/>
      <c r="H23" s="72"/>
      <c r="I23" s="29" t="s">
        <v>1140</v>
      </c>
      <c r="M23" s="4">
        <v>57</v>
      </c>
    </row>
    <row r="24" spans="1:13" ht="14.65" customHeight="1">
      <c r="A24" s="43"/>
      <c r="B24" s="43">
        <v>3</v>
      </c>
      <c r="C24" s="19"/>
      <c r="D24" s="44">
        <v>2</v>
      </c>
      <c r="E24" s="27"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теплоснабжения</v>
      </c>
      <c r="F24" s="27"/>
      <c r="G24" s="27" t="s">
        <v>309</v>
      </c>
      <c r="H24" s="72"/>
      <c r="I24" s="29" t="s">
        <v>635</v>
      </c>
      <c r="M24" s="4">
        <v>14</v>
      </c>
    </row>
    <row r="25" spans="1:13" ht="48.2" customHeight="1">
      <c r="A25" s="43"/>
      <c r="C25" s="19"/>
      <c r="D25" s="44">
        <v>3</v>
      </c>
      <c r="E25" s="698"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заявкой на заключение договора о подключении (технологическом присоединении) к системе теплоснабжения</v>
      </c>
      <c r="F25" s="698"/>
      <c r="G25" s="698"/>
      <c r="H25" s="698"/>
      <c r="I25" s="29"/>
      <c r="M25" s="4">
        <v>46</v>
      </c>
    </row>
    <row r="26" spans="1:13" ht="14.65" customHeight="1">
      <c r="A26" s="43"/>
      <c r="C26" s="19"/>
      <c r="D26" s="44" t="s">
        <v>327</v>
      </c>
      <c r="E26" s="67"/>
      <c r="F26" s="27"/>
      <c r="G26" s="27" t="s">
        <v>309</v>
      </c>
      <c r="H26" s="72"/>
      <c r="I26" s="673" t="s">
        <v>1141</v>
      </c>
      <c r="M26" s="4">
        <v>14</v>
      </c>
    </row>
    <row r="27" spans="1:13" ht="15.75" customHeight="1">
      <c r="A27" s="43" t="s">
        <v>110</v>
      </c>
      <c r="C27" s="19"/>
      <c r="D27" s="28"/>
      <c r="E27" s="37" t="s">
        <v>325</v>
      </c>
      <c r="F27" s="37"/>
      <c r="G27" s="37"/>
      <c r="H27" s="68"/>
      <c r="I27" s="676"/>
      <c r="M27" s="4">
        <v>15</v>
      </c>
    </row>
    <row r="28" spans="1:13" ht="39.75" customHeight="1">
      <c r="A28" s="43"/>
      <c r="B28" s="43">
        <v>3</v>
      </c>
      <c r="C28" s="19"/>
      <c r="D28" s="44">
        <v>4</v>
      </c>
      <c r="E28" s="698"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регулируемой организации при подаче, приеме, обработке заявки на заключение договора о подключении (технологическом присоединении) к системе теплоснабжения</v>
      </c>
      <c r="F28" s="698"/>
      <c r="G28" s="698"/>
      <c r="H28" s="698"/>
      <c r="I28" s="29"/>
      <c r="M28" s="4">
        <v>38</v>
      </c>
    </row>
    <row r="29" spans="1:13" ht="21" customHeight="1">
      <c r="A29" s="43"/>
      <c r="C29" s="19"/>
      <c r="D29" s="44" t="s">
        <v>757</v>
      </c>
      <c r="E29" s="27" t="s">
        <v>1131</v>
      </c>
      <c r="F29" s="27"/>
      <c r="G29" s="67"/>
      <c r="H29" s="27" t="s">
        <v>309</v>
      </c>
      <c r="I29" s="673" t="s">
        <v>1142</v>
      </c>
      <c r="M29" s="4">
        <v>20</v>
      </c>
    </row>
    <row r="30" spans="1:13" ht="15.75" customHeight="1">
      <c r="A30" s="43" t="s">
        <v>111</v>
      </c>
      <c r="C30" s="19"/>
      <c r="D30" s="28"/>
      <c r="E30" s="37" t="s">
        <v>325</v>
      </c>
      <c r="F30" s="37"/>
      <c r="G30" s="37"/>
      <c r="H30" s="68"/>
      <c r="I30" s="676"/>
      <c r="M30" s="4">
        <v>15</v>
      </c>
    </row>
    <row r="31" spans="1:13" ht="31.5" customHeight="1">
      <c r="A31" s="43"/>
      <c r="B31" s="43">
        <v>3</v>
      </c>
      <c r="C31" s="19"/>
      <c r="D31" s="44">
        <v>5</v>
      </c>
      <c r="E31" s="698"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1" s="698"/>
      <c r="G31" s="698"/>
      <c r="H31" s="698"/>
      <c r="I31" s="29"/>
      <c r="M31" s="4">
        <v>30</v>
      </c>
    </row>
    <row r="32" spans="1:13" ht="27.4" customHeight="1">
      <c r="A32" s="43"/>
      <c r="C32" s="19"/>
      <c r="D32" s="44" t="s">
        <v>316</v>
      </c>
      <c r="E32" s="698"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теплоснабжения</v>
      </c>
      <c r="F32" s="698"/>
      <c r="G32" s="698"/>
      <c r="H32" s="698"/>
      <c r="I32" s="29"/>
      <c r="M32" s="4">
        <v>26</v>
      </c>
    </row>
    <row r="33" spans="1:13" ht="14.65" customHeight="1">
      <c r="A33" s="43"/>
      <c r="C33" s="19"/>
      <c r="D33" s="44" t="s">
        <v>1143</v>
      </c>
      <c r="E33" s="27" t="s">
        <v>1132</v>
      </c>
      <c r="F33" s="27"/>
      <c r="G33" s="67"/>
      <c r="H33" s="27" t="s">
        <v>309</v>
      </c>
      <c r="I33" s="673" t="s">
        <v>1144</v>
      </c>
      <c r="M33" s="4">
        <v>14</v>
      </c>
    </row>
    <row r="34" spans="1:13" ht="15.75" customHeight="1">
      <c r="A34" s="43" t="s">
        <v>90</v>
      </c>
      <c r="C34" s="19"/>
      <c r="D34" s="28"/>
      <c r="E34" s="37" t="s">
        <v>325</v>
      </c>
      <c r="F34" s="37"/>
      <c r="G34" s="37"/>
      <c r="H34" s="68"/>
      <c r="I34" s="676"/>
      <c r="M34" s="4">
        <v>15</v>
      </c>
    </row>
    <row r="35" spans="1:13" ht="25.15" customHeight="1">
      <c r="A35" s="43"/>
      <c r="C35" s="19"/>
      <c r="D35" s="44" t="s">
        <v>885</v>
      </c>
      <c r="E35" s="698"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теплоснабжения</v>
      </c>
      <c r="F35" s="698"/>
      <c r="G35" s="698"/>
      <c r="H35" s="698"/>
      <c r="I35" s="29"/>
      <c r="M35" s="4">
        <v>24</v>
      </c>
    </row>
    <row r="36" spans="1:13" ht="14.65" customHeight="1">
      <c r="A36" s="43"/>
      <c r="C36" s="19"/>
      <c r="D36" s="44" t="s">
        <v>1145</v>
      </c>
      <c r="E36" s="27" t="s">
        <v>1133</v>
      </c>
      <c r="F36" s="27"/>
      <c r="G36" s="67"/>
      <c r="H36" s="27" t="s">
        <v>309</v>
      </c>
      <c r="I36" s="679" t="s">
        <v>1146</v>
      </c>
      <c r="M36" s="4">
        <v>14</v>
      </c>
    </row>
    <row r="37" spans="1:13" ht="15.75" customHeight="1">
      <c r="A37" s="43" t="s">
        <v>91</v>
      </c>
      <c r="C37" s="19"/>
      <c r="D37" s="28"/>
      <c r="E37" s="37" t="s">
        <v>325</v>
      </c>
      <c r="F37" s="37"/>
      <c r="G37" s="37"/>
      <c r="H37" s="68"/>
      <c r="I37" s="679"/>
      <c r="M37" s="4">
        <v>15</v>
      </c>
    </row>
    <row r="38" spans="1:13" ht="27.4" customHeight="1">
      <c r="A38" s="43"/>
      <c r="C38" s="19"/>
      <c r="D38" s="44" t="s">
        <v>886</v>
      </c>
      <c r="E38" s="698"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8" s="698"/>
      <c r="G38" s="698"/>
      <c r="H38" s="698"/>
      <c r="I38" s="29"/>
      <c r="M38" s="4">
        <v>26</v>
      </c>
    </row>
    <row r="39" spans="1:13" ht="14.65" customHeight="1">
      <c r="A39" s="43"/>
      <c r="C39" s="19"/>
      <c r="D39" s="44" t="s">
        <v>887</v>
      </c>
      <c r="E39" s="27" t="s">
        <v>1134</v>
      </c>
      <c r="F39" s="27"/>
      <c r="G39" s="69"/>
      <c r="H39" s="27" t="s">
        <v>309</v>
      </c>
      <c r="I39" s="673" t="s">
        <v>1147</v>
      </c>
      <c r="L39" s="46" t="s">
        <v>1135</v>
      </c>
      <c r="M39" s="4">
        <v>14</v>
      </c>
    </row>
    <row r="40" spans="1:13" ht="15.75" customHeight="1">
      <c r="A40" s="43" t="s">
        <v>112</v>
      </c>
      <c r="C40" s="19"/>
      <c r="D40" s="28"/>
      <c r="E40" s="37" t="s">
        <v>325</v>
      </c>
      <c r="F40" s="37"/>
      <c r="G40" s="37"/>
      <c r="H40" s="68"/>
      <c r="I40" s="676"/>
      <c r="M40" s="4">
        <v>15</v>
      </c>
    </row>
    <row r="41" spans="1:13" s="4" customFormat="1" ht="3" customHeight="1">
      <c r="A41" s="43"/>
      <c r="K41" s="46"/>
      <c r="L41" s="46"/>
      <c r="M41" s="4">
        <v>3</v>
      </c>
    </row>
    <row r="42" spans="1:13" ht="26.25" customHeight="1">
      <c r="D42" s="4" t="s">
        <v>807</v>
      </c>
      <c r="E42" s="665"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теплоснабжения.</v>
      </c>
      <c r="F42" s="665"/>
      <c r="G42" s="665"/>
      <c r="H42" s="665"/>
      <c r="I42" s="665"/>
      <c r="M42" s="4">
        <v>25</v>
      </c>
    </row>
    <row r="43" spans="1:13" ht="22.5" hidden="1" customHeight="1">
      <c r="A43" s="167" t="s">
        <v>82</v>
      </c>
      <c r="B43" s="43">
        <v>0</v>
      </c>
      <c r="C43" s="20">
        <v>3</v>
      </c>
      <c r="D43" s="4">
        <v>6</v>
      </c>
      <c r="E43" s="4">
        <v>63</v>
      </c>
      <c r="F43" s="4">
        <v>0</v>
      </c>
      <c r="G43" s="4">
        <v>35</v>
      </c>
      <c r="H43" s="4">
        <v>35</v>
      </c>
      <c r="I43" s="4">
        <v>91</v>
      </c>
      <c r="J43" s="4">
        <v>68</v>
      </c>
      <c r="K43" s="46">
        <v>10</v>
      </c>
      <c r="L43" s="46">
        <v>10</v>
      </c>
      <c r="M43" s="4">
        <v>23</v>
      </c>
    </row>
  </sheetData>
  <sheetProtection formatColumns="0" formatRows="0" insertRows="0" deleteColumns="0" deleteRows="0" sort="0" autoFilter="0"/>
  <mergeCells count="17">
    <mergeCell ref="E42:I42"/>
    <mergeCell ref="E32:H32"/>
    <mergeCell ref="E35:H35"/>
    <mergeCell ref="E38:H38"/>
    <mergeCell ref="I33:I34"/>
    <mergeCell ref="I36:I37"/>
    <mergeCell ref="I39:I40"/>
    <mergeCell ref="I29:I30"/>
    <mergeCell ref="E31:H31"/>
    <mergeCell ref="D14:H14"/>
    <mergeCell ref="D18:H18"/>
    <mergeCell ref="I18:I19"/>
    <mergeCell ref="E21:H21"/>
    <mergeCell ref="E25:H25"/>
    <mergeCell ref="I26:I27"/>
    <mergeCell ref="E28:H28"/>
    <mergeCell ref="D15:H15"/>
  </mergeCells>
  <dataValidations count="4">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xr:uid="{00000000-0002-0000-2E00-000000000000}">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26 H23:H24 H2" xr:uid="{00000000-0002-0000-2E00-000001000000}">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xr:uid="{00000000-0002-0000-2E00-000002000000}">
      <formula1>"a"</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xr:uid="{00000000-0002-0000-2E00-000003000000}"/>
  </dataValidations>
  <pageMargins left="0.7" right="0.7" top="0.75" bottom="0.75" header="0.3" footer="0.3"/>
  <pageSetup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F7C28E-F59E-E607-A5B2-B4968F15394E}">
  <sheetPr>
    <tabColor theme="6" tint="0.39997558519241921"/>
  </sheetPr>
  <dimension ref="A1:AH332"/>
  <sheetViews>
    <sheetView showGridLines="0" zoomScale="90" workbookViewId="0">
      <pane xSplit="7" ySplit="21" topLeftCell="H22" activePane="bottomRight" state="frozen"/>
      <selection pane="topRight" activeCell="H1" sqref="H1"/>
      <selection pane="bottomLeft" activeCell="A22" sqref="A22"/>
      <selection pane="bottomRight"/>
    </sheetView>
  </sheetViews>
  <sheetFormatPr defaultColWidth="10.5703125" defaultRowHeight="14.25" customHeight="1"/>
  <cols>
    <col min="1" max="2" width="25.140625" style="23" hidden="1" customWidth="1"/>
    <col min="3" max="3" width="9.140625" style="4" hidden="1" customWidth="1"/>
    <col min="4" max="4" width="3" style="20" customWidth="1"/>
    <col min="5" max="5" width="6" style="4" customWidth="1"/>
    <col min="6" max="6" width="46.7109375" style="4" customWidth="1"/>
    <col min="7" max="7" width="35" style="4" customWidth="1"/>
    <col min="8" max="8" width="3" style="4" customWidth="1"/>
    <col min="9" max="10" width="11" style="4" customWidth="1"/>
    <col min="11" max="12" width="35" style="4" customWidth="1"/>
    <col min="13" max="13" width="84" style="4" customWidth="1"/>
    <col min="14" max="14" width="10" style="4" customWidth="1"/>
    <col min="15" max="16" width="10" style="46" customWidth="1"/>
    <col min="17" max="33" width="10" style="4" customWidth="1"/>
    <col min="34" max="34" width="10.5703125" style="4" hidden="1"/>
  </cols>
  <sheetData>
    <row r="1" spans="1:34" s="4" customFormat="1" ht="22.5" hidden="1" customHeight="1">
      <c r="A1" s="23"/>
      <c r="B1" s="23"/>
      <c r="D1" s="20"/>
      <c r="N1" s="46">
        <f>IFERROR(MATCH("метод экономически обоснованных расходов (затрат)",OFFER_METHOD,0),0)</f>
        <v>0</v>
      </c>
      <c r="O1" s="46"/>
      <c r="P1" s="46"/>
      <c r="AH1" s="4" t="s">
        <v>14</v>
      </c>
    </row>
    <row r="2" spans="1:34" s="4" customFormat="1" ht="18.75" hidden="1" customHeight="1">
      <c r="A2" s="4" t="s">
        <v>160</v>
      </c>
      <c r="B2" s="4" t="s">
        <v>161</v>
      </c>
      <c r="D2" s="20"/>
      <c r="E2" s="349"/>
      <c r="F2" s="349"/>
      <c r="G2" s="808" t="str">
        <f>INDEX(PT_DIFFERENTIATION_NTAR,MATCH(B2,PT_DIFFERENTIATION_NTAR_ID,0))</f>
        <v/>
      </c>
      <c r="H2" s="371"/>
      <c r="I2" s="549"/>
      <c r="J2" s="567"/>
      <c r="K2" s="356"/>
      <c r="L2" s="371" t="s">
        <v>309</v>
      </c>
      <c r="M2" s="592"/>
      <c r="N2" s="115"/>
      <c r="O2" s="46"/>
      <c r="P2" s="46"/>
      <c r="AH2" s="4">
        <v>0</v>
      </c>
    </row>
    <row r="3" spans="1:34" s="4" customFormat="1" ht="18.75" hidden="1" customHeight="1">
      <c r="C3" s="4" t="s">
        <v>1148</v>
      </c>
      <c r="D3" s="20"/>
      <c r="E3" s="349"/>
      <c r="F3" s="349"/>
      <c r="G3" s="808"/>
      <c r="H3" s="130"/>
      <c r="I3" s="37" t="s">
        <v>1149</v>
      </c>
      <c r="J3" s="37"/>
      <c r="K3" s="130"/>
      <c r="L3" s="68"/>
      <c r="M3" s="592"/>
      <c r="N3" s="115"/>
      <c r="O3" s="46"/>
      <c r="P3" s="46"/>
      <c r="AH3" s="4">
        <v>0</v>
      </c>
    </row>
    <row r="4" spans="1:34" s="4" customFormat="1" ht="14.25" hidden="1" customHeight="1">
      <c r="A4" s="23"/>
      <c r="B4" s="23"/>
      <c r="D4" s="20"/>
      <c r="N4" s="46">
        <f>IFERROR(MATCH("метод экономически обоснованных расходов (затрат)",OFFER_METHOD,0),0)</f>
        <v>0</v>
      </c>
      <c r="O4" s="46"/>
      <c r="P4" s="46"/>
      <c r="AH4" s="4">
        <v>0</v>
      </c>
    </row>
    <row r="5" spans="1:34" s="4" customFormat="1" ht="18.75" hidden="1" customHeight="1">
      <c r="A5" s="4" t="s">
        <v>160</v>
      </c>
      <c r="B5" s="4" t="s">
        <v>161</v>
      </c>
      <c r="D5" s="20"/>
      <c r="E5" s="349"/>
      <c r="F5" s="349"/>
      <c r="G5" s="808" t="str">
        <f>INDEX(PT_DIFFERENTIATION_NTAR,MATCH(B5,PT_DIFFERENTIATION_NTAR_ID,0))</f>
        <v/>
      </c>
      <c r="H5" s="371"/>
      <c r="I5" s="549"/>
      <c r="J5" s="567"/>
      <c r="K5" s="204"/>
      <c r="L5" s="371" t="s">
        <v>309</v>
      </c>
      <c r="M5" s="592"/>
      <c r="N5" s="115"/>
      <c r="O5" s="46"/>
      <c r="P5" s="46"/>
      <c r="AH5" s="4">
        <v>0</v>
      </c>
    </row>
    <row r="6" spans="1:34" s="4" customFormat="1" ht="18.75" hidden="1" customHeight="1">
      <c r="C6" s="4" t="s">
        <v>1150</v>
      </c>
      <c r="D6" s="20"/>
      <c r="E6" s="349"/>
      <c r="F6" s="349"/>
      <c r="G6" s="808"/>
      <c r="H6" s="130"/>
      <c r="I6" s="37" t="s">
        <v>1149</v>
      </c>
      <c r="J6" s="37"/>
      <c r="K6" s="130"/>
      <c r="L6" s="68"/>
      <c r="M6" s="592"/>
      <c r="N6" s="115"/>
      <c r="O6" s="46"/>
      <c r="P6" s="46"/>
      <c r="AH6" s="4">
        <v>0</v>
      </c>
    </row>
    <row r="7" spans="1:34" s="4" customFormat="1" ht="14.25" hidden="1" customHeight="1">
      <c r="A7" s="23"/>
      <c r="B7" s="23"/>
      <c r="D7" s="20"/>
      <c r="N7" s="46">
        <f>IFERROR(MATCH("метод экономически обоснованных расходов (затрат)",OFFER_METHOD,0),0)</f>
        <v>0</v>
      </c>
      <c r="O7" s="46"/>
      <c r="P7" s="46"/>
      <c r="AH7" s="4">
        <v>0</v>
      </c>
    </row>
    <row r="8" spans="1:34" s="4" customFormat="1" ht="56.25" hidden="1" customHeight="1">
      <c r="D8" s="20"/>
      <c r="E8" s="349"/>
      <c r="F8" s="349"/>
      <c r="G8" s="349"/>
      <c r="H8" s="371"/>
      <c r="I8" s="549"/>
      <c r="J8" s="567"/>
      <c r="K8" s="356"/>
      <c r="L8" s="371" t="s">
        <v>309</v>
      </c>
      <c r="M8" s="592"/>
      <c r="N8" s="115"/>
      <c r="O8" s="46"/>
      <c r="P8" s="46"/>
      <c r="AH8" s="4">
        <v>0</v>
      </c>
    </row>
    <row r="9" spans="1:34" ht="14.25" hidden="1" customHeight="1">
      <c r="AH9" s="4">
        <v>0</v>
      </c>
    </row>
    <row r="10" spans="1:34" s="4" customFormat="1" ht="56.25" hidden="1" customHeight="1">
      <c r="D10" s="20"/>
      <c r="E10" s="349"/>
      <c r="F10" s="349"/>
      <c r="G10" s="349"/>
      <c r="H10" s="27"/>
      <c r="I10" s="549"/>
      <c r="J10" s="567"/>
      <c r="K10" s="204"/>
      <c r="L10" s="371" t="s">
        <v>309</v>
      </c>
      <c r="M10" s="592"/>
      <c r="N10" s="115"/>
      <c r="O10" s="46"/>
      <c r="P10" s="46"/>
      <c r="AH10" s="4">
        <v>0</v>
      </c>
    </row>
    <row r="11" spans="1:34" ht="14.25" hidden="1" customHeight="1">
      <c r="AH11" s="4">
        <v>0</v>
      </c>
    </row>
    <row r="12" spans="1:34" ht="14.25" hidden="1" customHeight="1">
      <c r="AH12" s="4">
        <v>0</v>
      </c>
    </row>
    <row r="13" spans="1:34" ht="6.4" customHeight="1">
      <c r="D13" s="19"/>
      <c r="E13" s="6"/>
      <c r="F13" s="6"/>
      <c r="G13" s="6"/>
      <c r="H13" s="6"/>
      <c r="I13" s="6"/>
      <c r="J13" s="6"/>
      <c r="K13" s="6"/>
      <c r="L13" s="6"/>
      <c r="M13" s="6"/>
      <c r="AH13" s="4">
        <v>6</v>
      </c>
    </row>
    <row r="14" spans="1:34" ht="14.65" customHeight="1">
      <c r="D14" s="19"/>
      <c r="E14" s="666"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18. Информация о предложении регулируемой организации об установлении цен (тарифов) в сфере теплоснабжения на очередной расчетный период регулирования</v>
      </c>
      <c r="F14" s="666"/>
      <c r="G14" s="666"/>
      <c r="H14" s="666"/>
      <c r="I14" s="666"/>
      <c r="J14" s="666"/>
      <c r="K14" s="666"/>
      <c r="L14" s="666"/>
      <c r="M14" s="40"/>
      <c r="AH14" s="4">
        <v>14</v>
      </c>
    </row>
    <row r="15" spans="1:34" ht="6.4" customHeight="1">
      <c r="D15" s="19"/>
      <c r="E15" s="6"/>
      <c r="F15" s="6"/>
      <c r="G15" s="6"/>
      <c r="H15" s="6"/>
      <c r="I15" s="6"/>
      <c r="J15" s="6"/>
      <c r="K15" s="6"/>
      <c r="L15" s="109"/>
      <c r="M15" s="6"/>
      <c r="AH15" s="4">
        <v>6</v>
      </c>
    </row>
    <row r="16" spans="1:34" ht="24" customHeight="1">
      <c r="D16" s="19"/>
      <c r="E16" s="6"/>
      <c r="F16" s="104" t="str">
        <f>"Дата подачи заявления об "&amp;IF(TITLE_DATE_PR_CHANGE="","утверждении","изменении")&amp;" тарифов"</f>
        <v>Дата подачи заявления об утверждении тарифов</v>
      </c>
      <c r="G16" s="740" t="str">
        <f>IF(TITLE_DATE_PR_CHANGE="",IF(TITLE_DATE_PR="","",TITLE_DATE_PR),TITLE_DATE_PR_CHANGE)</f>
        <v/>
      </c>
      <c r="H16" s="740"/>
      <c r="I16" s="740"/>
      <c r="J16" s="740"/>
      <c r="K16" s="740"/>
      <c r="L16" s="740"/>
      <c r="M16" s="115"/>
      <c r="AH16" s="4">
        <v>23</v>
      </c>
    </row>
    <row r="17" spans="1:34" ht="24" customHeight="1">
      <c r="D17" s="19"/>
      <c r="E17" s="6"/>
      <c r="F17" s="104" t="str">
        <f>"Номер подачи заявления об "&amp;IF(TITLE_DATE_PR_CHANGE="","утверждении","изменении")&amp;" тарифов"</f>
        <v>Номер подачи заявления об утверждении тарифов</v>
      </c>
      <c r="G17" s="741" t="str">
        <f>IF(TITLE_NUMBER_PR_CHANGE="",IF(TITLE_NUMBER_PR="","",TITLE_NUMBER_PR),TITLE_NUMBER_PR_CHANGE)</f>
        <v/>
      </c>
      <c r="H17" s="741"/>
      <c r="I17" s="741"/>
      <c r="J17" s="741"/>
      <c r="K17" s="741"/>
      <c r="L17" s="741"/>
      <c r="M17" s="115"/>
      <c r="AH17" s="4">
        <v>23</v>
      </c>
    </row>
    <row r="18" spans="1:34" ht="14.65" customHeight="1">
      <c r="D18" s="19"/>
      <c r="E18" s="6"/>
      <c r="F18" s="6"/>
      <c r="G18" s="6"/>
      <c r="H18" s="6"/>
      <c r="I18" s="6"/>
      <c r="J18" s="6"/>
      <c r="K18" s="6"/>
      <c r="L18" s="247"/>
      <c r="M18" s="6"/>
      <c r="AH18" s="4">
        <v>14</v>
      </c>
    </row>
    <row r="19" spans="1:34" ht="21.95" customHeight="1">
      <c r="D19" s="19"/>
      <c r="E19" s="722" t="s">
        <v>303</v>
      </c>
      <c r="F19" s="722"/>
      <c r="G19" s="722"/>
      <c r="H19" s="722"/>
      <c r="I19" s="722"/>
      <c r="J19" s="722"/>
      <c r="K19" s="722"/>
      <c r="L19" s="722"/>
      <c r="M19" s="722" t="s">
        <v>304</v>
      </c>
      <c r="AH19" s="4">
        <v>21</v>
      </c>
    </row>
    <row r="20" spans="1:34" ht="21.95" customHeight="1">
      <c r="D20" s="19"/>
      <c r="E20" s="724" t="s">
        <v>88</v>
      </c>
      <c r="F20" s="702" t="s">
        <v>127</v>
      </c>
      <c r="G20" s="702" t="s">
        <v>128</v>
      </c>
      <c r="H20" s="809" t="s">
        <v>1151</v>
      </c>
      <c r="I20" s="810"/>
      <c r="J20" s="819"/>
      <c r="K20" s="702" t="s">
        <v>306</v>
      </c>
      <c r="L20" s="702" t="s">
        <v>393</v>
      </c>
      <c r="M20" s="722"/>
      <c r="AH20" s="4">
        <v>21</v>
      </c>
    </row>
    <row r="21" spans="1:34" ht="21.95" customHeight="1">
      <c r="D21" s="19"/>
      <c r="E21" s="726"/>
      <c r="F21" s="704"/>
      <c r="G21" s="704"/>
      <c r="H21" s="728" t="s">
        <v>1152</v>
      </c>
      <c r="I21" s="734"/>
      <c r="J21" s="27" t="s">
        <v>1153</v>
      </c>
      <c r="K21" s="704"/>
      <c r="L21" s="704"/>
      <c r="M21" s="722"/>
      <c r="AH21" s="4">
        <v>21</v>
      </c>
    </row>
    <row r="22" spans="1:34" ht="12.75" customHeight="1">
      <c r="D22" s="19"/>
      <c r="E22" s="14"/>
      <c r="F22" s="14"/>
      <c r="G22" s="14"/>
      <c r="H22" s="839"/>
      <c r="I22" s="839"/>
      <c r="J22" s="14"/>
      <c r="K22" s="14"/>
      <c r="L22" s="14"/>
      <c r="M22" s="14"/>
      <c r="AH22" s="4">
        <v>12</v>
      </c>
    </row>
    <row r="23" spans="1:34" ht="19.899999999999999" customHeight="1">
      <c r="A23" s="4"/>
      <c r="B23" s="4"/>
      <c r="D23" s="19"/>
      <c r="E23" s="590" t="s">
        <v>110</v>
      </c>
      <c r="F23" s="702" t="str">
        <f>"Предлагаемый метод регулирования"&amp;IF(TEMPLATE_SPHERE="HEAT"," в сфере "&amp;TEMPLATE_SPHERE_RUS,"")</f>
        <v>Предлагаемый метод регулирования в сфере теплоснабжения</v>
      </c>
      <c r="G23" s="702"/>
      <c r="H23" s="698"/>
      <c r="I23" s="698"/>
      <c r="J23" s="698"/>
      <c r="K23" s="702" t="s">
        <v>309</v>
      </c>
      <c r="L23" s="698"/>
      <c r="M23" s="29"/>
      <c r="N23" s="115"/>
      <c r="AH23" s="4">
        <v>19</v>
      </c>
    </row>
    <row r="24" spans="1:34" ht="60.75" hidden="1" customHeight="1">
      <c r="A24" s="4" t="s">
        <v>160</v>
      </c>
      <c r="B24" s="4" t="s">
        <v>161</v>
      </c>
      <c r="D24" s="838"/>
      <c r="E24" s="721"/>
      <c r="F24" s="840"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808" t="str">
        <f>INDEX(PT_DIFFERENTIATION_NTAR,MATCH(B24,PT_DIFFERENTIATION_NTAR_ID,0))</f>
        <v/>
      </c>
      <c r="H24" s="371"/>
      <c r="I24" s="549"/>
      <c r="J24" s="567"/>
      <c r="K24" s="356"/>
      <c r="L24" s="371" t="s">
        <v>309</v>
      </c>
      <c r="M24" s="673"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теплоснабжения, предусмотренных законодательством в сфере теплоснабжения.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115"/>
      <c r="AH24" s="4">
        <v>0</v>
      </c>
    </row>
    <row r="25" spans="1:34" s="4" customFormat="1" ht="18.75" hidden="1" customHeight="1">
      <c r="C25" s="4" t="s">
        <v>1148</v>
      </c>
      <c r="D25" s="838"/>
      <c r="E25" s="721"/>
      <c r="F25" s="840"/>
      <c r="G25" s="808"/>
      <c r="H25" s="130"/>
      <c r="I25" s="37" t="s">
        <v>1149</v>
      </c>
      <c r="J25" s="37"/>
      <c r="K25" s="130"/>
      <c r="L25" s="68"/>
      <c r="M25" s="705"/>
      <c r="N25" s="115"/>
      <c r="O25" s="46"/>
      <c r="P25" s="46"/>
      <c r="AH25" s="4">
        <v>0</v>
      </c>
    </row>
    <row r="26" spans="1:34" ht="0.75" hidden="1" customHeight="1">
      <c r="A26" s="4"/>
      <c r="B26" s="4"/>
      <c r="C26" s="4" t="s">
        <v>1154</v>
      </c>
      <c r="D26" s="838"/>
      <c r="E26" s="721"/>
      <c r="F26" s="808"/>
      <c r="G26" s="130"/>
      <c r="H26" s="130"/>
      <c r="I26" s="37"/>
      <c r="J26" s="37"/>
      <c r="K26" s="130"/>
      <c r="L26" s="68"/>
      <c r="M26" s="705"/>
      <c r="N26" s="115"/>
      <c r="AH26" s="4">
        <v>0</v>
      </c>
    </row>
    <row r="27" spans="1:34" s="4" customFormat="1" ht="45" hidden="1" customHeight="1">
      <c r="A27" s="4" t="s">
        <v>165</v>
      </c>
      <c r="B27" s="4" t="s">
        <v>166</v>
      </c>
      <c r="D27" s="837"/>
      <c r="E27" s="841"/>
      <c r="F27" s="842" t="str">
        <f>INDEX(PT_DIFFERENTIATION_VTAR,MATCH(A27,PT_DIFFERENTIATION_VTAR_ID,0))</f>
        <v/>
      </c>
      <c r="G27" s="808" t="str">
        <f>INDEX(PT_DIFFERENTIATION_NTAR,MATCH(B27,PT_DIFFERENTIATION_NTAR_ID,0))</f>
        <v/>
      </c>
      <c r="H27" s="371"/>
      <c r="I27" s="549"/>
      <c r="J27" s="567"/>
      <c r="K27" s="356"/>
      <c r="L27" s="371" t="s">
        <v>309</v>
      </c>
      <c r="M27" s="705"/>
      <c r="N27" s="115"/>
      <c r="O27" s="46"/>
      <c r="P27" s="46"/>
      <c r="AH27" s="4">
        <v>0</v>
      </c>
    </row>
    <row r="28" spans="1:34" s="4" customFormat="1" ht="18.75" hidden="1" customHeight="1">
      <c r="C28" s="4" t="s">
        <v>1148</v>
      </c>
      <c r="D28" s="837"/>
      <c r="E28" s="841"/>
      <c r="F28" s="842"/>
      <c r="G28" s="808"/>
      <c r="H28" s="130"/>
      <c r="I28" s="37" t="s">
        <v>1149</v>
      </c>
      <c r="J28" s="37"/>
      <c r="K28" s="130"/>
      <c r="L28" s="68"/>
      <c r="M28" s="705"/>
      <c r="N28" s="115"/>
      <c r="O28" s="46"/>
      <c r="P28" s="46"/>
      <c r="AH28" s="4">
        <v>0</v>
      </c>
    </row>
    <row r="29" spans="1:34" s="4" customFormat="1" ht="0.75" hidden="1" customHeight="1">
      <c r="C29" s="4" t="s">
        <v>1154</v>
      </c>
      <c r="D29" s="837"/>
      <c r="E29" s="721"/>
      <c r="F29" s="808"/>
      <c r="G29" s="130"/>
      <c r="H29" s="130"/>
      <c r="I29" s="37"/>
      <c r="J29" s="37"/>
      <c r="K29" s="130"/>
      <c r="L29" s="68"/>
      <c r="M29" s="705"/>
      <c r="N29" s="115"/>
      <c r="O29" s="46"/>
      <c r="P29" s="46"/>
      <c r="AH29" s="4">
        <v>0</v>
      </c>
    </row>
    <row r="30" spans="1:34" s="4" customFormat="1" ht="45" hidden="1" customHeight="1">
      <c r="A30" s="4" t="s">
        <v>172</v>
      </c>
      <c r="B30" s="4" t="s">
        <v>173</v>
      </c>
      <c r="D30" s="837"/>
      <c r="E30" s="721"/>
      <c r="F30" s="808"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808" t="str">
        <f>INDEX(PT_DIFFERENTIATION_NTAR,MATCH(B30,PT_DIFFERENTIATION_NTAR_ID,0))</f>
        <v/>
      </c>
      <c r="H30" s="371"/>
      <c r="I30" s="549"/>
      <c r="J30" s="567"/>
      <c r="K30" s="356"/>
      <c r="L30" s="371" t="s">
        <v>309</v>
      </c>
      <c r="M30" s="705"/>
      <c r="N30" s="115"/>
      <c r="O30" s="46"/>
      <c r="P30" s="46"/>
      <c r="AH30" s="4">
        <v>0</v>
      </c>
    </row>
    <row r="31" spans="1:34" s="4" customFormat="1" ht="18.75" hidden="1" customHeight="1">
      <c r="C31" s="4" t="s">
        <v>1148</v>
      </c>
      <c r="D31" s="837"/>
      <c r="E31" s="721"/>
      <c r="F31" s="808"/>
      <c r="G31" s="808"/>
      <c r="H31" s="130"/>
      <c r="I31" s="37" t="s">
        <v>1149</v>
      </c>
      <c r="J31" s="37"/>
      <c r="K31" s="130"/>
      <c r="L31" s="68"/>
      <c r="M31" s="705"/>
      <c r="N31" s="115"/>
      <c r="O31" s="46"/>
      <c r="P31" s="46"/>
      <c r="AH31" s="4">
        <v>0</v>
      </c>
    </row>
    <row r="32" spans="1:34" s="4" customFormat="1" ht="0.75" hidden="1" customHeight="1">
      <c r="C32" s="4" t="s">
        <v>1154</v>
      </c>
      <c r="D32" s="837"/>
      <c r="E32" s="721"/>
      <c r="F32" s="808"/>
      <c r="G32" s="130"/>
      <c r="H32" s="130"/>
      <c r="I32" s="37"/>
      <c r="J32" s="37"/>
      <c r="K32" s="130"/>
      <c r="L32" s="68"/>
      <c r="M32" s="705"/>
      <c r="N32" s="115"/>
      <c r="O32" s="46"/>
      <c r="P32" s="46"/>
      <c r="AH32" s="4">
        <v>0</v>
      </c>
    </row>
    <row r="33" spans="1:34" s="4" customFormat="1" ht="45" hidden="1" customHeight="1">
      <c r="A33" s="4" t="s">
        <v>178</v>
      </c>
      <c r="B33" s="4" t="s">
        <v>179</v>
      </c>
      <c r="D33" s="837"/>
      <c r="E33" s="721"/>
      <c r="F33" s="808"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808" t="str">
        <f>INDEX(PT_DIFFERENTIATION_NTAR,MATCH(B33,PT_DIFFERENTIATION_NTAR_ID,0))</f>
        <v/>
      </c>
      <c r="H33" s="371"/>
      <c r="I33" s="549"/>
      <c r="J33" s="567"/>
      <c r="K33" s="356"/>
      <c r="L33" s="371" t="s">
        <v>309</v>
      </c>
      <c r="M33" s="705"/>
      <c r="N33" s="115"/>
      <c r="O33" s="46"/>
      <c r="P33" s="46"/>
      <c r="AH33" s="4">
        <v>0</v>
      </c>
    </row>
    <row r="34" spans="1:34" s="4" customFormat="1" ht="18.75" hidden="1" customHeight="1">
      <c r="C34" s="4" t="s">
        <v>1148</v>
      </c>
      <c r="D34" s="837"/>
      <c r="E34" s="721"/>
      <c r="F34" s="808"/>
      <c r="G34" s="808"/>
      <c r="H34" s="130"/>
      <c r="I34" s="37" t="s">
        <v>1149</v>
      </c>
      <c r="J34" s="37"/>
      <c r="K34" s="130"/>
      <c r="L34" s="68"/>
      <c r="M34" s="705"/>
      <c r="N34" s="115"/>
      <c r="O34" s="46"/>
      <c r="P34" s="46"/>
      <c r="AH34" s="4">
        <v>0</v>
      </c>
    </row>
    <row r="35" spans="1:34" s="4" customFormat="1" ht="0.75" hidden="1" customHeight="1">
      <c r="C35" s="4" t="s">
        <v>1154</v>
      </c>
      <c r="D35" s="837"/>
      <c r="E35" s="721"/>
      <c r="F35" s="808"/>
      <c r="G35" s="130"/>
      <c r="H35" s="130"/>
      <c r="I35" s="37"/>
      <c r="J35" s="37"/>
      <c r="K35" s="130"/>
      <c r="L35" s="68"/>
      <c r="M35" s="705"/>
      <c r="N35" s="115"/>
      <c r="O35" s="46"/>
      <c r="P35" s="46"/>
      <c r="AH35" s="4">
        <v>0</v>
      </c>
    </row>
    <row r="36" spans="1:34" s="4" customFormat="1" ht="18.75" hidden="1" customHeight="1">
      <c r="A36" s="4" t="s">
        <v>184</v>
      </c>
      <c r="B36" s="4" t="s">
        <v>185</v>
      </c>
      <c r="D36" s="837"/>
      <c r="E36" s="721"/>
      <c r="F36" s="808" t="str">
        <f>INDEX(PT_DIFFERENTIATION_VTAR,MATCH(A36,PT_DIFFERENTIATION_VTAR_ID,0))</f>
        <v>Тарифы на услуги по передаче тепловой энергии</v>
      </c>
      <c r="G36" s="808" t="str">
        <f>INDEX(PT_DIFFERENTIATION_NTAR,MATCH(B36,PT_DIFFERENTIATION_NTAR_ID,0))</f>
        <v/>
      </c>
      <c r="H36" s="371"/>
      <c r="I36" s="549"/>
      <c r="J36" s="567"/>
      <c r="K36" s="356"/>
      <c r="L36" s="371" t="s">
        <v>309</v>
      </c>
      <c r="M36" s="705"/>
      <c r="N36" s="115"/>
      <c r="O36" s="46"/>
      <c r="P36" s="46"/>
      <c r="AH36" s="4">
        <v>0</v>
      </c>
    </row>
    <row r="37" spans="1:34" s="4" customFormat="1" ht="18.75" hidden="1" customHeight="1">
      <c r="C37" s="4" t="s">
        <v>1148</v>
      </c>
      <c r="D37" s="837"/>
      <c r="E37" s="721"/>
      <c r="F37" s="808"/>
      <c r="G37" s="808"/>
      <c r="H37" s="130"/>
      <c r="I37" s="37" t="s">
        <v>1149</v>
      </c>
      <c r="J37" s="37"/>
      <c r="K37" s="130"/>
      <c r="L37" s="68"/>
      <c r="M37" s="705"/>
      <c r="N37" s="115"/>
      <c r="O37" s="46"/>
      <c r="P37" s="46"/>
      <c r="AH37" s="4">
        <v>0</v>
      </c>
    </row>
    <row r="38" spans="1:34" s="4" customFormat="1" ht="0.75" hidden="1" customHeight="1">
      <c r="C38" s="4" t="s">
        <v>1154</v>
      </c>
      <c r="D38" s="837"/>
      <c r="E38" s="721"/>
      <c r="F38" s="808"/>
      <c r="G38" s="130"/>
      <c r="H38" s="130"/>
      <c r="I38" s="37"/>
      <c r="J38" s="37"/>
      <c r="K38" s="130"/>
      <c r="L38" s="68"/>
      <c r="M38" s="705"/>
      <c r="N38" s="115"/>
      <c r="O38" s="46"/>
      <c r="P38" s="46"/>
      <c r="AH38" s="4">
        <v>0</v>
      </c>
    </row>
    <row r="39" spans="1:34" s="4" customFormat="1" ht="18.75" hidden="1" customHeight="1">
      <c r="A39" s="4" t="s">
        <v>190</v>
      </c>
      <c r="B39" s="4" t="s">
        <v>191</v>
      </c>
      <c r="D39" s="837"/>
      <c r="E39" s="721"/>
      <c r="F39" s="808" t="str">
        <f>INDEX(PT_DIFFERENTIATION_VTAR,MATCH(A39,PT_DIFFERENTIATION_VTAR_ID,0))</f>
        <v>Тарифы на услуги по передаче теплоносителя</v>
      </c>
      <c r="G39" s="808" t="str">
        <f>INDEX(PT_DIFFERENTIATION_NTAR,MATCH(B39,PT_DIFFERENTIATION_NTAR_ID,0))</f>
        <v/>
      </c>
      <c r="H39" s="371"/>
      <c r="I39" s="549"/>
      <c r="J39" s="567"/>
      <c r="K39" s="356"/>
      <c r="L39" s="371" t="s">
        <v>309</v>
      </c>
      <c r="M39" s="705"/>
      <c r="N39" s="115"/>
      <c r="O39" s="46"/>
      <c r="P39" s="46"/>
      <c r="AH39" s="4">
        <v>0</v>
      </c>
    </row>
    <row r="40" spans="1:34" s="4" customFormat="1" ht="18.75" hidden="1" customHeight="1">
      <c r="C40" s="4" t="s">
        <v>1148</v>
      </c>
      <c r="D40" s="837"/>
      <c r="E40" s="721"/>
      <c r="F40" s="808"/>
      <c r="G40" s="808"/>
      <c r="H40" s="130"/>
      <c r="I40" s="37" t="s">
        <v>1149</v>
      </c>
      <c r="J40" s="37"/>
      <c r="K40" s="130"/>
      <c r="L40" s="68"/>
      <c r="M40" s="705"/>
      <c r="N40" s="115"/>
      <c r="O40" s="46"/>
      <c r="P40" s="46"/>
      <c r="AH40" s="4">
        <v>0</v>
      </c>
    </row>
    <row r="41" spans="1:34" s="4" customFormat="1" ht="0.75" hidden="1" customHeight="1">
      <c r="C41" s="4" t="s">
        <v>1154</v>
      </c>
      <c r="D41" s="837"/>
      <c r="E41" s="721"/>
      <c r="F41" s="808"/>
      <c r="G41" s="130"/>
      <c r="H41" s="130"/>
      <c r="I41" s="37"/>
      <c r="J41" s="37"/>
      <c r="K41" s="130"/>
      <c r="L41" s="68"/>
      <c r="M41" s="705"/>
      <c r="N41" s="115"/>
      <c r="O41" s="46"/>
      <c r="P41" s="46"/>
      <c r="AH41" s="4">
        <v>0</v>
      </c>
    </row>
    <row r="42" spans="1:34" s="4" customFormat="1" ht="18.75" hidden="1" customHeight="1">
      <c r="A42" s="4" t="s">
        <v>196</v>
      </c>
      <c r="B42" s="4" t="s">
        <v>197</v>
      </c>
      <c r="D42" s="837"/>
      <c r="E42" s="721"/>
      <c r="F42" s="808" t="str">
        <f>INDEX(PT_DIFFERENTIATION_VTAR,MATCH(A42,PT_DIFFERENTIATION_VTAR_ID,0))</f>
        <v>Плата за услуги по поддержанию резервной тепловой мощности при отсутствии потребления тепловой энергии</v>
      </c>
      <c r="G42" s="808" t="str">
        <f>INDEX(PT_DIFFERENTIATION_NTAR,MATCH(B42,PT_DIFFERENTIATION_NTAR_ID,0))</f>
        <v/>
      </c>
      <c r="H42" s="371"/>
      <c r="I42" s="549"/>
      <c r="J42" s="567"/>
      <c r="K42" s="356"/>
      <c r="L42" s="371" t="s">
        <v>309</v>
      </c>
      <c r="M42" s="705"/>
      <c r="N42" s="115"/>
      <c r="O42" s="46"/>
      <c r="P42" s="46"/>
      <c r="AH42" s="4">
        <v>0</v>
      </c>
    </row>
    <row r="43" spans="1:34" s="4" customFormat="1" ht="18.75" hidden="1" customHeight="1">
      <c r="C43" s="4" t="s">
        <v>1148</v>
      </c>
      <c r="D43" s="837"/>
      <c r="E43" s="721"/>
      <c r="F43" s="808"/>
      <c r="G43" s="808"/>
      <c r="H43" s="130"/>
      <c r="I43" s="37" t="s">
        <v>1149</v>
      </c>
      <c r="J43" s="37"/>
      <c r="K43" s="130"/>
      <c r="L43" s="68"/>
      <c r="M43" s="705"/>
      <c r="N43" s="115"/>
      <c r="O43" s="46"/>
      <c r="P43" s="46"/>
      <c r="AH43" s="4">
        <v>0</v>
      </c>
    </row>
    <row r="44" spans="1:34" s="4" customFormat="1" ht="0.75" hidden="1" customHeight="1">
      <c r="C44" s="4" t="s">
        <v>1154</v>
      </c>
      <c r="D44" s="837"/>
      <c r="E44" s="721"/>
      <c r="F44" s="808"/>
      <c r="G44" s="130"/>
      <c r="H44" s="130"/>
      <c r="I44" s="37"/>
      <c r="J44" s="37"/>
      <c r="K44" s="130"/>
      <c r="L44" s="68"/>
      <c r="M44" s="705"/>
      <c r="N44" s="115"/>
      <c r="O44" s="46"/>
      <c r="P44" s="46"/>
      <c r="AH44" s="4">
        <v>0</v>
      </c>
    </row>
    <row r="45" spans="1:34" s="4" customFormat="1" ht="18.75" hidden="1" customHeight="1">
      <c r="A45" s="4" t="s">
        <v>202</v>
      </c>
      <c r="B45" s="4" t="s">
        <v>203</v>
      </c>
      <c r="D45" s="837"/>
      <c r="E45" s="721"/>
      <c r="F45" s="808" t="str">
        <f>INDEX(PT_DIFFERENTIATION_VTAR,MATCH(A45,PT_DIFFERENTIATION_VTAR_ID,0))</f>
        <v>Плата за подключение (технологическое присоединение) к системе теплоснабжения</v>
      </c>
      <c r="G45" s="808" t="str">
        <f>INDEX(PT_DIFFERENTIATION_NTAR,MATCH(B45,PT_DIFFERENTIATION_NTAR_ID,0))</f>
        <v/>
      </c>
      <c r="H45" s="371"/>
      <c r="I45" s="549"/>
      <c r="J45" s="567"/>
      <c r="K45" s="356"/>
      <c r="L45" s="371" t="s">
        <v>309</v>
      </c>
      <c r="M45" s="705"/>
      <c r="N45" s="115"/>
      <c r="O45" s="46"/>
      <c r="P45" s="46"/>
      <c r="AH45" s="4">
        <v>0</v>
      </c>
    </row>
    <row r="46" spans="1:34" s="4" customFormat="1" ht="18.75" hidden="1" customHeight="1">
      <c r="C46" s="4" t="s">
        <v>1148</v>
      </c>
      <c r="D46" s="837"/>
      <c r="E46" s="721"/>
      <c r="F46" s="808"/>
      <c r="G46" s="808"/>
      <c r="H46" s="130"/>
      <c r="I46" s="37" t="s">
        <v>1149</v>
      </c>
      <c r="J46" s="37"/>
      <c r="K46" s="130"/>
      <c r="L46" s="68"/>
      <c r="M46" s="705"/>
      <c r="N46" s="115"/>
      <c r="O46" s="46"/>
      <c r="P46" s="46"/>
      <c r="AH46" s="4">
        <v>0</v>
      </c>
    </row>
    <row r="47" spans="1:34" s="4" customFormat="1" ht="0.75" hidden="1" customHeight="1">
      <c r="C47" s="4" t="s">
        <v>1154</v>
      </c>
      <c r="D47" s="837"/>
      <c r="E47" s="721"/>
      <c r="F47" s="808"/>
      <c r="G47" s="130"/>
      <c r="H47" s="130"/>
      <c r="I47" s="37"/>
      <c r="J47" s="37"/>
      <c r="K47" s="130"/>
      <c r="L47" s="68"/>
      <c r="M47" s="705"/>
      <c r="N47" s="115"/>
      <c r="O47" s="46"/>
      <c r="P47" s="46"/>
      <c r="AH47" s="4">
        <v>0</v>
      </c>
    </row>
    <row r="48" spans="1:34" s="4" customFormat="1" ht="18.75" hidden="1" customHeight="1">
      <c r="A48" s="4" t="s">
        <v>208</v>
      </c>
      <c r="B48" s="4" t="s">
        <v>209</v>
      </c>
      <c r="D48" s="837"/>
      <c r="E48" s="721"/>
      <c r="F48" s="808" t="str">
        <f>INDEX(PT_DIFFERENTIATION_VTAR,MATCH(A48,PT_DIFFERENTIATION_VTAR_ID,0))</f>
        <v>Плата за подключение (технологическое присоединение) к системе теплоснабжения (индивидуальная)</v>
      </c>
      <c r="G48" s="808" t="str">
        <f>INDEX(PT_DIFFERENTIATION_NTAR,MATCH(B48,PT_DIFFERENTIATION_NTAR_ID,0))</f>
        <v/>
      </c>
      <c r="H48" s="371"/>
      <c r="I48" s="549"/>
      <c r="J48" s="567"/>
      <c r="K48" s="356"/>
      <c r="L48" s="371" t="s">
        <v>309</v>
      </c>
      <c r="M48" s="705"/>
      <c r="N48" s="115"/>
      <c r="O48" s="46"/>
      <c r="P48" s="46"/>
      <c r="AH48" s="4">
        <v>0</v>
      </c>
    </row>
    <row r="49" spans="1:34" s="4" customFormat="1" ht="18.75" hidden="1" customHeight="1">
      <c r="C49" s="4" t="s">
        <v>1148</v>
      </c>
      <c r="D49" s="837"/>
      <c r="E49" s="721"/>
      <c r="F49" s="808"/>
      <c r="G49" s="808"/>
      <c r="H49" s="130"/>
      <c r="I49" s="37" t="s">
        <v>1149</v>
      </c>
      <c r="J49" s="37"/>
      <c r="K49" s="130"/>
      <c r="L49" s="68"/>
      <c r="M49" s="705"/>
      <c r="N49" s="115"/>
      <c r="O49" s="46"/>
      <c r="P49" s="46"/>
      <c r="AH49" s="4">
        <v>0</v>
      </c>
    </row>
    <row r="50" spans="1:34" s="4" customFormat="1" ht="0.75" hidden="1" customHeight="1">
      <c r="C50" s="4" t="s">
        <v>1154</v>
      </c>
      <c r="D50" s="837"/>
      <c r="E50" s="721"/>
      <c r="F50" s="808"/>
      <c r="G50" s="130"/>
      <c r="H50" s="130"/>
      <c r="I50" s="37"/>
      <c r="J50" s="37"/>
      <c r="K50" s="130"/>
      <c r="L50" s="68"/>
      <c r="M50" s="705"/>
      <c r="N50" s="115"/>
      <c r="O50" s="46"/>
      <c r="P50" s="46"/>
      <c r="AH50" s="4">
        <v>0</v>
      </c>
    </row>
    <row r="51" spans="1:34" s="4" customFormat="1" ht="18.75" hidden="1" customHeight="1">
      <c r="A51" s="4" t="s">
        <v>228</v>
      </c>
      <c r="B51" s="4" t="s">
        <v>229</v>
      </c>
      <c r="D51" s="837"/>
      <c r="E51" s="721"/>
      <c r="F51" s="808" t="str">
        <f>INDEX(PT_DIFFERENTIATION_VTAR,MATCH(A51,PT_DIFFERENTIATION_VTAR_ID,0))</f>
        <v>Тариф на питьевую воду (питьевое водоснабжение)</v>
      </c>
      <c r="G51" s="808" t="str">
        <f>INDEX(PT_DIFFERENTIATION_NTAR,MATCH(B51,PT_DIFFERENTIATION_NTAR_ID,0))</f>
        <v/>
      </c>
      <c r="H51" s="371"/>
      <c r="I51" s="549"/>
      <c r="J51" s="567"/>
      <c r="K51" s="356"/>
      <c r="L51" s="371" t="s">
        <v>309</v>
      </c>
      <c r="M51" s="705"/>
      <c r="N51" s="115"/>
      <c r="O51" s="46"/>
      <c r="P51" s="46"/>
      <c r="AH51" s="4">
        <v>0</v>
      </c>
    </row>
    <row r="52" spans="1:34" s="4" customFormat="1" ht="18.75" hidden="1" customHeight="1">
      <c r="C52" s="4" t="s">
        <v>1148</v>
      </c>
      <c r="D52" s="837"/>
      <c r="E52" s="721"/>
      <c r="F52" s="808"/>
      <c r="G52" s="808"/>
      <c r="H52" s="130"/>
      <c r="I52" s="37" t="s">
        <v>1149</v>
      </c>
      <c r="J52" s="37"/>
      <c r="K52" s="130"/>
      <c r="L52" s="68"/>
      <c r="M52" s="705"/>
      <c r="N52" s="115"/>
      <c r="O52" s="46"/>
      <c r="P52" s="46"/>
      <c r="AH52" s="4">
        <v>0</v>
      </c>
    </row>
    <row r="53" spans="1:34" s="4" customFormat="1" ht="0.75" hidden="1" customHeight="1">
      <c r="C53" s="4" t="s">
        <v>1154</v>
      </c>
      <c r="D53" s="837"/>
      <c r="E53" s="721"/>
      <c r="F53" s="808"/>
      <c r="G53" s="130"/>
      <c r="H53" s="130"/>
      <c r="I53" s="37"/>
      <c r="J53" s="37"/>
      <c r="K53" s="130"/>
      <c r="L53" s="68"/>
      <c r="M53" s="705"/>
      <c r="N53" s="115"/>
      <c r="O53" s="46"/>
      <c r="P53" s="46"/>
      <c r="AH53" s="4">
        <v>0</v>
      </c>
    </row>
    <row r="54" spans="1:34" s="4" customFormat="1" ht="18.75" hidden="1" customHeight="1">
      <c r="A54" s="4" t="s">
        <v>233</v>
      </c>
      <c r="B54" s="4" t="s">
        <v>234</v>
      </c>
      <c r="D54" s="837"/>
      <c r="E54" s="721"/>
      <c r="F54" s="808" t="str">
        <f>INDEX(PT_DIFFERENTIATION_VTAR,MATCH(A54,PT_DIFFERENTIATION_VTAR_ID,0))</f>
        <v>Тариф на техническую воду</v>
      </c>
      <c r="G54" s="808" t="str">
        <f>INDEX(PT_DIFFERENTIATION_NTAR,MATCH(B54,PT_DIFFERENTIATION_NTAR_ID,0))</f>
        <v/>
      </c>
      <c r="H54" s="371"/>
      <c r="I54" s="549"/>
      <c r="J54" s="567"/>
      <c r="K54" s="356"/>
      <c r="L54" s="371" t="s">
        <v>309</v>
      </c>
      <c r="M54" s="705"/>
      <c r="N54" s="115"/>
      <c r="O54" s="46"/>
      <c r="P54" s="46"/>
      <c r="AH54" s="4">
        <v>0</v>
      </c>
    </row>
    <row r="55" spans="1:34" s="4" customFormat="1" ht="18.75" hidden="1" customHeight="1">
      <c r="C55" s="4" t="s">
        <v>1148</v>
      </c>
      <c r="D55" s="837"/>
      <c r="E55" s="721"/>
      <c r="F55" s="808"/>
      <c r="G55" s="808"/>
      <c r="H55" s="130"/>
      <c r="I55" s="37" t="s">
        <v>1149</v>
      </c>
      <c r="J55" s="37"/>
      <c r="K55" s="130"/>
      <c r="L55" s="68"/>
      <c r="M55" s="705"/>
      <c r="N55" s="115"/>
      <c r="O55" s="46"/>
      <c r="P55" s="46"/>
      <c r="AH55" s="4">
        <v>0</v>
      </c>
    </row>
    <row r="56" spans="1:34" s="4" customFormat="1" ht="0.75" hidden="1" customHeight="1">
      <c r="C56" s="4" t="s">
        <v>1154</v>
      </c>
      <c r="D56" s="837"/>
      <c r="E56" s="721"/>
      <c r="F56" s="808"/>
      <c r="G56" s="130"/>
      <c r="H56" s="130"/>
      <c r="I56" s="37"/>
      <c r="J56" s="37"/>
      <c r="K56" s="130"/>
      <c r="L56" s="68"/>
      <c r="M56" s="705"/>
      <c r="N56" s="115"/>
      <c r="O56" s="46"/>
      <c r="P56" s="46"/>
      <c r="AH56" s="4">
        <v>0</v>
      </c>
    </row>
    <row r="57" spans="1:34" s="4" customFormat="1" ht="18.75" hidden="1" customHeight="1">
      <c r="A57" s="4" t="s">
        <v>238</v>
      </c>
      <c r="B57" s="4" t="s">
        <v>239</v>
      </c>
      <c r="D57" s="837"/>
      <c r="E57" s="721"/>
      <c r="F57" s="808" t="str">
        <f>INDEX(PT_DIFFERENTIATION_VTAR,MATCH(A57,PT_DIFFERENTIATION_VTAR_ID,0))</f>
        <v>Тариф на транспортировку воды</v>
      </c>
      <c r="G57" s="808" t="str">
        <f>INDEX(PT_DIFFERENTIATION_NTAR,MATCH(B57,PT_DIFFERENTIATION_NTAR_ID,0))</f>
        <v/>
      </c>
      <c r="H57" s="371"/>
      <c r="I57" s="549"/>
      <c r="J57" s="567"/>
      <c r="K57" s="356"/>
      <c r="L57" s="371" t="s">
        <v>309</v>
      </c>
      <c r="M57" s="705"/>
      <c r="N57" s="115"/>
      <c r="O57" s="46"/>
      <c r="P57" s="46"/>
      <c r="AH57" s="4">
        <v>0</v>
      </c>
    </row>
    <row r="58" spans="1:34" s="4" customFormat="1" ht="18.75" hidden="1" customHeight="1">
      <c r="C58" s="4" t="s">
        <v>1148</v>
      </c>
      <c r="D58" s="837"/>
      <c r="E58" s="721"/>
      <c r="F58" s="808"/>
      <c r="G58" s="808"/>
      <c r="H58" s="130"/>
      <c r="I58" s="37" t="s">
        <v>1149</v>
      </c>
      <c r="J58" s="37"/>
      <c r="K58" s="130"/>
      <c r="L58" s="68"/>
      <c r="M58" s="705"/>
      <c r="N58" s="115"/>
      <c r="O58" s="46"/>
      <c r="P58" s="46"/>
      <c r="AH58" s="4">
        <v>0</v>
      </c>
    </row>
    <row r="59" spans="1:34" s="4" customFormat="1" ht="0.75" hidden="1" customHeight="1">
      <c r="C59" s="4" t="s">
        <v>1154</v>
      </c>
      <c r="D59" s="837"/>
      <c r="E59" s="721"/>
      <c r="F59" s="808"/>
      <c r="G59" s="130"/>
      <c r="H59" s="130"/>
      <c r="I59" s="37"/>
      <c r="J59" s="37"/>
      <c r="K59" s="130"/>
      <c r="L59" s="68"/>
      <c r="M59" s="705"/>
      <c r="N59" s="115"/>
      <c r="O59" s="46"/>
      <c r="P59" s="46"/>
      <c r="AH59" s="4">
        <v>0</v>
      </c>
    </row>
    <row r="60" spans="1:34" s="4" customFormat="1" ht="18.75" hidden="1" customHeight="1">
      <c r="A60" s="4" t="s">
        <v>243</v>
      </c>
      <c r="B60" s="4" t="s">
        <v>244</v>
      </c>
      <c r="D60" s="837"/>
      <c r="E60" s="721"/>
      <c r="F60" s="808" t="str">
        <f>INDEX(PT_DIFFERENTIATION_VTAR,MATCH(A60,PT_DIFFERENTIATION_VTAR_ID,0))</f>
        <v>Тариф на подвоз воды</v>
      </c>
      <c r="G60" s="808" t="str">
        <f>INDEX(PT_DIFFERENTIATION_NTAR,MATCH(B60,PT_DIFFERENTIATION_NTAR_ID,0))</f>
        <v/>
      </c>
      <c r="H60" s="371"/>
      <c r="I60" s="549"/>
      <c r="J60" s="567"/>
      <c r="K60" s="356"/>
      <c r="L60" s="371" t="s">
        <v>309</v>
      </c>
      <c r="M60" s="705"/>
      <c r="N60" s="115"/>
      <c r="O60" s="46"/>
      <c r="P60" s="46"/>
      <c r="AH60" s="4">
        <v>0</v>
      </c>
    </row>
    <row r="61" spans="1:34" s="4" customFormat="1" ht="18.75" hidden="1" customHeight="1">
      <c r="C61" s="4" t="s">
        <v>1148</v>
      </c>
      <c r="D61" s="837"/>
      <c r="E61" s="721"/>
      <c r="F61" s="808"/>
      <c r="G61" s="808"/>
      <c r="H61" s="130"/>
      <c r="I61" s="37" t="s">
        <v>1149</v>
      </c>
      <c r="J61" s="37"/>
      <c r="K61" s="130"/>
      <c r="L61" s="68"/>
      <c r="M61" s="705"/>
      <c r="N61" s="115"/>
      <c r="O61" s="46"/>
      <c r="P61" s="46"/>
      <c r="AH61" s="4">
        <v>0</v>
      </c>
    </row>
    <row r="62" spans="1:34" s="4" customFormat="1" ht="0.75" hidden="1" customHeight="1">
      <c r="C62" s="4" t="s">
        <v>1154</v>
      </c>
      <c r="D62" s="837"/>
      <c r="E62" s="721"/>
      <c r="F62" s="808"/>
      <c r="G62" s="130"/>
      <c r="H62" s="130"/>
      <c r="I62" s="37"/>
      <c r="J62" s="37"/>
      <c r="K62" s="130"/>
      <c r="L62" s="68"/>
      <c r="M62" s="705"/>
      <c r="N62" s="115"/>
      <c r="O62" s="46"/>
      <c r="P62" s="46"/>
      <c r="AH62" s="4">
        <v>0</v>
      </c>
    </row>
    <row r="63" spans="1:34" s="4" customFormat="1" ht="18.75" hidden="1" customHeight="1">
      <c r="A63" s="4" t="s">
        <v>248</v>
      </c>
      <c r="B63" s="4" t="s">
        <v>249</v>
      </c>
      <c r="D63" s="837"/>
      <c r="E63" s="721"/>
      <c r="F63" s="808" t="str">
        <f>INDEX(PT_DIFFERENTIATION_VTAR,MATCH(A63,PT_DIFFERENTIATION_VTAR_ID,0))</f>
        <v>Тариф на подключение (технологическое присоединение) к централизованной системе холодного водоснабжения</v>
      </c>
      <c r="G63" s="808" t="str">
        <f>INDEX(PT_DIFFERENTIATION_NTAR,MATCH(B63,PT_DIFFERENTIATION_NTAR_ID,0))</f>
        <v/>
      </c>
      <c r="H63" s="371"/>
      <c r="I63" s="549"/>
      <c r="J63" s="567"/>
      <c r="K63" s="356"/>
      <c r="L63" s="371" t="s">
        <v>309</v>
      </c>
      <c r="M63" s="705"/>
      <c r="N63" s="115"/>
      <c r="O63" s="46"/>
      <c r="P63" s="46"/>
      <c r="AH63" s="4">
        <v>0</v>
      </c>
    </row>
    <row r="64" spans="1:34" s="4" customFormat="1" ht="18.75" hidden="1" customHeight="1">
      <c r="C64" s="4" t="s">
        <v>1148</v>
      </c>
      <c r="D64" s="837"/>
      <c r="E64" s="721"/>
      <c r="F64" s="808"/>
      <c r="G64" s="808"/>
      <c r="H64" s="130"/>
      <c r="I64" s="37" t="s">
        <v>1149</v>
      </c>
      <c r="J64" s="37"/>
      <c r="K64" s="130"/>
      <c r="L64" s="68"/>
      <c r="M64" s="705"/>
      <c r="N64" s="115"/>
      <c r="O64" s="46"/>
      <c r="P64" s="46"/>
      <c r="AH64" s="4">
        <v>0</v>
      </c>
    </row>
    <row r="65" spans="1:34" s="4" customFormat="1" ht="0.75" hidden="1" customHeight="1">
      <c r="C65" s="4" t="s">
        <v>1154</v>
      </c>
      <c r="D65" s="837"/>
      <c r="E65" s="721"/>
      <c r="F65" s="808"/>
      <c r="G65" s="130"/>
      <c r="H65" s="130"/>
      <c r="I65" s="37"/>
      <c r="J65" s="37"/>
      <c r="K65" s="130"/>
      <c r="L65" s="68"/>
      <c r="M65" s="705"/>
      <c r="N65" s="115"/>
      <c r="O65" s="46"/>
      <c r="P65" s="46"/>
      <c r="AH65" s="4">
        <v>0</v>
      </c>
    </row>
    <row r="66" spans="1:34" s="4" customFormat="1" ht="18.75" hidden="1" customHeight="1">
      <c r="A66" s="4" t="s">
        <v>253</v>
      </c>
      <c r="B66" s="4" t="s">
        <v>254</v>
      </c>
      <c r="D66" s="837"/>
      <c r="E66" s="721"/>
      <c r="F66" s="808" t="str">
        <f>INDEX(PT_DIFFERENTIATION_VTAR,MATCH(A66,PT_DIFFERENTIATION_VTAR_ID,0))</f>
        <v>Тариф на горячую воду (горячее водоснабжение)</v>
      </c>
      <c r="G66" s="808" t="str">
        <f>INDEX(PT_DIFFERENTIATION_NTAR,MATCH(B66,PT_DIFFERENTIATION_NTAR_ID,0))</f>
        <v/>
      </c>
      <c r="H66" s="371"/>
      <c r="I66" s="549"/>
      <c r="J66" s="567"/>
      <c r="K66" s="356"/>
      <c r="L66" s="371" t="s">
        <v>309</v>
      </c>
      <c r="M66" s="705"/>
      <c r="N66" s="115"/>
      <c r="O66" s="46"/>
      <c r="P66" s="46"/>
      <c r="AH66" s="4">
        <v>0</v>
      </c>
    </row>
    <row r="67" spans="1:34" s="4" customFormat="1" ht="18.75" hidden="1" customHeight="1">
      <c r="C67" s="4" t="s">
        <v>1148</v>
      </c>
      <c r="D67" s="837"/>
      <c r="E67" s="721"/>
      <c r="F67" s="808"/>
      <c r="G67" s="808"/>
      <c r="H67" s="130"/>
      <c r="I67" s="37" t="s">
        <v>1149</v>
      </c>
      <c r="J67" s="37"/>
      <c r="K67" s="130"/>
      <c r="L67" s="68"/>
      <c r="M67" s="705"/>
      <c r="N67" s="115"/>
      <c r="O67" s="46"/>
      <c r="P67" s="46"/>
      <c r="AH67" s="4">
        <v>0</v>
      </c>
    </row>
    <row r="68" spans="1:34" s="4" customFormat="1" ht="0.75" hidden="1" customHeight="1">
      <c r="C68" s="4" t="s">
        <v>1154</v>
      </c>
      <c r="D68" s="837"/>
      <c r="E68" s="721"/>
      <c r="F68" s="808"/>
      <c r="G68" s="130"/>
      <c r="H68" s="130"/>
      <c r="I68" s="37"/>
      <c r="J68" s="37"/>
      <c r="K68" s="130"/>
      <c r="L68" s="68"/>
      <c r="M68" s="705"/>
      <c r="N68" s="115"/>
      <c r="O68" s="46"/>
      <c r="P68" s="46"/>
      <c r="AH68" s="4">
        <v>0</v>
      </c>
    </row>
    <row r="69" spans="1:34" s="4" customFormat="1" ht="18.75" hidden="1" customHeight="1">
      <c r="A69" s="4" t="s">
        <v>258</v>
      </c>
      <c r="B69" s="4" t="s">
        <v>259</v>
      </c>
      <c r="D69" s="837"/>
      <c r="E69" s="721"/>
      <c r="F69" s="808" t="str">
        <f>INDEX(PT_DIFFERENTIATION_VTAR,MATCH(A69,PT_DIFFERENTIATION_VTAR_ID,0))</f>
        <v>Тариф на транспортировку горячей воды</v>
      </c>
      <c r="G69" s="808" t="str">
        <f>INDEX(PT_DIFFERENTIATION_NTAR,MATCH(B69,PT_DIFFERENTIATION_NTAR_ID,0))</f>
        <v/>
      </c>
      <c r="H69" s="371"/>
      <c r="I69" s="549"/>
      <c r="J69" s="567"/>
      <c r="K69" s="356"/>
      <c r="L69" s="371" t="s">
        <v>309</v>
      </c>
      <c r="M69" s="705"/>
      <c r="N69" s="115"/>
      <c r="O69" s="46"/>
      <c r="P69" s="46"/>
      <c r="AH69" s="4">
        <v>0</v>
      </c>
    </row>
    <row r="70" spans="1:34" s="4" customFormat="1" ht="18.75" hidden="1" customHeight="1">
      <c r="C70" s="4" t="s">
        <v>1148</v>
      </c>
      <c r="D70" s="837"/>
      <c r="E70" s="721"/>
      <c r="F70" s="808"/>
      <c r="G70" s="808"/>
      <c r="H70" s="130"/>
      <c r="I70" s="37" t="s">
        <v>1149</v>
      </c>
      <c r="J70" s="37"/>
      <c r="K70" s="130"/>
      <c r="L70" s="68"/>
      <c r="M70" s="705"/>
      <c r="N70" s="115"/>
      <c r="O70" s="46"/>
      <c r="P70" s="46"/>
      <c r="AH70" s="4">
        <v>0</v>
      </c>
    </row>
    <row r="71" spans="1:34" s="4" customFormat="1" ht="0.75" hidden="1" customHeight="1">
      <c r="C71" s="4" t="s">
        <v>1154</v>
      </c>
      <c r="D71" s="837"/>
      <c r="E71" s="721"/>
      <c r="F71" s="808"/>
      <c r="G71" s="130"/>
      <c r="H71" s="130"/>
      <c r="I71" s="37"/>
      <c r="J71" s="37"/>
      <c r="K71" s="130"/>
      <c r="L71" s="68"/>
      <c r="M71" s="705"/>
      <c r="N71" s="115"/>
      <c r="O71" s="46"/>
      <c r="P71" s="46"/>
      <c r="AH71" s="4">
        <v>0</v>
      </c>
    </row>
    <row r="72" spans="1:34" s="4" customFormat="1" ht="18.75" hidden="1" customHeight="1">
      <c r="A72" s="4" t="s">
        <v>263</v>
      </c>
      <c r="B72" s="4" t="s">
        <v>264</v>
      </c>
      <c r="D72" s="837"/>
      <c r="E72" s="721"/>
      <c r="F72" s="808" t="str">
        <f>INDEX(PT_DIFFERENTIATION_VTAR,MATCH(A72,PT_DIFFERENTIATION_VTAR_ID,0))</f>
        <v>Тариф на подключение (технологическое присоединение) к централизованной системе горячего водоснабжения</v>
      </c>
      <c r="G72" s="808" t="str">
        <f>INDEX(PT_DIFFERENTIATION_NTAR,MATCH(B72,PT_DIFFERENTIATION_NTAR_ID,0))</f>
        <v/>
      </c>
      <c r="H72" s="371"/>
      <c r="I72" s="549"/>
      <c r="J72" s="567"/>
      <c r="K72" s="356"/>
      <c r="L72" s="371" t="s">
        <v>309</v>
      </c>
      <c r="M72" s="705"/>
      <c r="N72" s="115"/>
      <c r="O72" s="46"/>
      <c r="P72" s="46"/>
      <c r="AH72" s="4">
        <v>0</v>
      </c>
    </row>
    <row r="73" spans="1:34" s="4" customFormat="1" ht="18.75" hidden="1" customHeight="1">
      <c r="C73" s="4" t="s">
        <v>1148</v>
      </c>
      <c r="D73" s="837"/>
      <c r="E73" s="721"/>
      <c r="F73" s="808"/>
      <c r="G73" s="808"/>
      <c r="H73" s="130"/>
      <c r="I73" s="37" t="s">
        <v>1149</v>
      </c>
      <c r="J73" s="37"/>
      <c r="K73" s="130"/>
      <c r="L73" s="68"/>
      <c r="M73" s="705"/>
      <c r="N73" s="115"/>
      <c r="O73" s="46"/>
      <c r="P73" s="46"/>
      <c r="AH73" s="4">
        <v>0</v>
      </c>
    </row>
    <row r="74" spans="1:34" s="4" customFormat="1" ht="0.75" hidden="1" customHeight="1">
      <c r="C74" s="4" t="s">
        <v>1154</v>
      </c>
      <c r="D74" s="837"/>
      <c r="E74" s="721"/>
      <c r="F74" s="808"/>
      <c r="G74" s="130"/>
      <c r="H74" s="130"/>
      <c r="I74" s="37"/>
      <c r="J74" s="37"/>
      <c r="K74" s="130"/>
      <c r="L74" s="68"/>
      <c r="M74" s="705"/>
      <c r="N74" s="115"/>
      <c r="O74" s="46"/>
      <c r="P74" s="46"/>
      <c r="AH74" s="4">
        <v>0</v>
      </c>
    </row>
    <row r="75" spans="1:34" s="4" customFormat="1" ht="18.75" hidden="1" customHeight="1">
      <c r="A75" s="4" t="s">
        <v>268</v>
      </c>
      <c r="B75" s="4" t="s">
        <v>269</v>
      </c>
      <c r="D75" s="837"/>
      <c r="E75" s="721"/>
      <c r="F75" s="808" t="str">
        <f>INDEX(PT_DIFFERENTIATION_VTAR,MATCH(A75,PT_DIFFERENTIATION_VTAR_ID,0))</f>
        <v>Тариф на водоотведение</v>
      </c>
      <c r="G75" s="808" t="str">
        <f>INDEX(PT_DIFFERENTIATION_NTAR,MATCH(B75,PT_DIFFERENTIATION_NTAR_ID,0))</f>
        <v/>
      </c>
      <c r="H75" s="371"/>
      <c r="I75" s="549"/>
      <c r="J75" s="567"/>
      <c r="K75" s="356"/>
      <c r="L75" s="371" t="s">
        <v>309</v>
      </c>
      <c r="M75" s="705"/>
      <c r="N75" s="115"/>
      <c r="O75" s="46"/>
      <c r="P75" s="46"/>
      <c r="AH75" s="4">
        <v>0</v>
      </c>
    </row>
    <row r="76" spans="1:34" s="4" customFormat="1" ht="18.75" hidden="1" customHeight="1">
      <c r="C76" s="4" t="s">
        <v>1148</v>
      </c>
      <c r="D76" s="837"/>
      <c r="E76" s="721"/>
      <c r="F76" s="808"/>
      <c r="G76" s="808"/>
      <c r="H76" s="130"/>
      <c r="I76" s="37" t="s">
        <v>1149</v>
      </c>
      <c r="J76" s="37"/>
      <c r="K76" s="130"/>
      <c r="L76" s="68"/>
      <c r="M76" s="705"/>
      <c r="N76" s="115"/>
      <c r="O76" s="46"/>
      <c r="P76" s="46"/>
      <c r="AH76" s="4">
        <v>0</v>
      </c>
    </row>
    <row r="77" spans="1:34" s="4" customFormat="1" ht="0.75" hidden="1" customHeight="1">
      <c r="C77" s="4" t="s">
        <v>1154</v>
      </c>
      <c r="D77" s="837"/>
      <c r="E77" s="721"/>
      <c r="F77" s="808"/>
      <c r="G77" s="130"/>
      <c r="H77" s="130"/>
      <c r="I77" s="37"/>
      <c r="J77" s="37"/>
      <c r="K77" s="130"/>
      <c r="L77" s="68"/>
      <c r="M77" s="705"/>
      <c r="N77" s="115"/>
      <c r="O77" s="46"/>
      <c r="P77" s="46"/>
      <c r="AH77" s="4">
        <v>0</v>
      </c>
    </row>
    <row r="78" spans="1:34" s="4" customFormat="1" ht="18.75" hidden="1" customHeight="1">
      <c r="A78" s="4" t="s">
        <v>273</v>
      </c>
      <c r="B78" s="4" t="s">
        <v>274</v>
      </c>
      <c r="D78" s="837"/>
      <c r="E78" s="721"/>
      <c r="F78" s="808" t="str">
        <f>INDEX(PT_DIFFERENTIATION_VTAR,MATCH(A78,PT_DIFFERENTIATION_VTAR_ID,0))</f>
        <v>Тариф на транспортировку сточных вод</v>
      </c>
      <c r="G78" s="808" t="str">
        <f>INDEX(PT_DIFFERENTIATION_NTAR,MATCH(B78,PT_DIFFERENTIATION_NTAR_ID,0))</f>
        <v/>
      </c>
      <c r="H78" s="371"/>
      <c r="I78" s="549"/>
      <c r="J78" s="567"/>
      <c r="K78" s="356"/>
      <c r="L78" s="371" t="s">
        <v>309</v>
      </c>
      <c r="M78" s="705"/>
      <c r="N78" s="115"/>
      <c r="O78" s="46"/>
      <c r="P78" s="46"/>
      <c r="AH78" s="4">
        <v>0</v>
      </c>
    </row>
    <row r="79" spans="1:34" s="4" customFormat="1" ht="18.75" hidden="1" customHeight="1">
      <c r="C79" s="4" t="s">
        <v>1148</v>
      </c>
      <c r="D79" s="837"/>
      <c r="E79" s="721"/>
      <c r="F79" s="808"/>
      <c r="G79" s="808"/>
      <c r="H79" s="130"/>
      <c r="I79" s="37" t="s">
        <v>1149</v>
      </c>
      <c r="J79" s="37"/>
      <c r="K79" s="130"/>
      <c r="L79" s="68"/>
      <c r="M79" s="705"/>
      <c r="N79" s="115"/>
      <c r="O79" s="46"/>
      <c r="P79" s="46"/>
      <c r="AH79" s="4">
        <v>0</v>
      </c>
    </row>
    <row r="80" spans="1:34" s="4" customFormat="1" ht="0.75" hidden="1" customHeight="1">
      <c r="C80" s="4" t="s">
        <v>1154</v>
      </c>
      <c r="D80" s="837"/>
      <c r="E80" s="721"/>
      <c r="F80" s="808"/>
      <c r="G80" s="130"/>
      <c r="H80" s="130"/>
      <c r="I80" s="37"/>
      <c r="J80" s="37"/>
      <c r="K80" s="130"/>
      <c r="L80" s="68"/>
      <c r="M80" s="705"/>
      <c r="N80" s="115"/>
      <c r="O80" s="46"/>
      <c r="P80" s="46"/>
      <c r="AH80" s="4">
        <v>0</v>
      </c>
    </row>
    <row r="81" spans="1:34" s="4" customFormat="1" ht="18.75" hidden="1" customHeight="1">
      <c r="A81" s="4" t="s">
        <v>278</v>
      </c>
      <c r="B81" s="4" t="s">
        <v>279</v>
      </c>
      <c r="D81" s="837"/>
      <c r="E81" s="721"/>
      <c r="F81" s="808" t="str">
        <f>INDEX(PT_DIFFERENTIATION_VTAR,MATCH(A81,PT_DIFFERENTIATION_VTAR_ID,0))</f>
        <v>Тариф на подключение (технологическое присоединение) к централизованной системе водоотведения</v>
      </c>
      <c r="G81" s="808" t="str">
        <f>INDEX(PT_DIFFERENTIATION_NTAR,MATCH(B81,PT_DIFFERENTIATION_NTAR_ID,0))</f>
        <v/>
      </c>
      <c r="H81" s="371"/>
      <c r="I81" s="549"/>
      <c r="J81" s="567"/>
      <c r="K81" s="356"/>
      <c r="L81" s="371" t="s">
        <v>309</v>
      </c>
      <c r="M81" s="705"/>
      <c r="N81" s="115"/>
      <c r="O81" s="46"/>
      <c r="P81" s="46"/>
      <c r="AH81" s="4">
        <v>0</v>
      </c>
    </row>
    <row r="82" spans="1:34" s="4" customFormat="1" ht="18.75" hidden="1" customHeight="1">
      <c r="C82" s="4" t="s">
        <v>1148</v>
      </c>
      <c r="D82" s="837"/>
      <c r="E82" s="721"/>
      <c r="F82" s="808"/>
      <c r="G82" s="808"/>
      <c r="H82" s="130"/>
      <c r="I82" s="37" t="s">
        <v>1149</v>
      </c>
      <c r="J82" s="37"/>
      <c r="K82" s="130"/>
      <c r="L82" s="68"/>
      <c r="M82" s="705"/>
      <c r="N82" s="115"/>
      <c r="O82" s="46"/>
      <c r="P82" s="46"/>
      <c r="AH82" s="4">
        <v>0</v>
      </c>
    </row>
    <row r="83" spans="1:34" s="4" customFormat="1" ht="1.1499999999999999" customHeight="1">
      <c r="C83" s="4" t="s">
        <v>1154</v>
      </c>
      <c r="D83" s="837"/>
      <c r="E83" s="721"/>
      <c r="F83" s="808"/>
      <c r="G83" s="130"/>
      <c r="H83" s="130"/>
      <c r="I83" s="37"/>
      <c r="J83" s="37"/>
      <c r="K83" s="130"/>
      <c r="L83" s="68"/>
      <c r="M83" s="705"/>
      <c r="N83" s="115"/>
      <c r="O83" s="46"/>
      <c r="P83" s="46"/>
      <c r="AH83" s="4">
        <v>1</v>
      </c>
    </row>
    <row r="84" spans="1:34" ht="19.899999999999999" customHeight="1">
      <c r="A84" s="4"/>
      <c r="B84" s="4"/>
      <c r="D84" s="19"/>
      <c r="E84" s="44" t="s">
        <v>111</v>
      </c>
      <c r="F84" s="698"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теплоснабжения)</v>
      </c>
      <c r="G84" s="698"/>
      <c r="H84" s="698"/>
      <c r="I84" s="698"/>
      <c r="J84" s="698"/>
      <c r="K84" s="698"/>
      <c r="L84" s="698"/>
      <c r="M84" s="29"/>
      <c r="N84" s="115"/>
      <c r="AH84" s="4">
        <v>19</v>
      </c>
    </row>
    <row r="85" spans="1:34" ht="35.65" customHeight="1">
      <c r="A85" s="4"/>
      <c r="B85" s="4"/>
      <c r="D85" s="19"/>
      <c r="E85" s="129"/>
      <c r="F85" s="27" t="s">
        <v>309</v>
      </c>
      <c r="G85" s="27" t="s">
        <v>309</v>
      </c>
      <c r="H85" s="728" t="s">
        <v>309</v>
      </c>
      <c r="I85" s="734"/>
      <c r="J85" s="27" t="s">
        <v>309</v>
      </c>
      <c r="K85" s="27" t="s">
        <v>309</v>
      </c>
      <c r="L85" s="131"/>
      <c r="M85" s="29" t="s">
        <v>1155</v>
      </c>
      <c r="N85" s="115"/>
      <c r="AH85" s="4">
        <v>34</v>
      </c>
    </row>
    <row r="86" spans="1:34" ht="19.899999999999999" customHeight="1">
      <c r="A86" s="4"/>
      <c r="B86" s="4"/>
      <c r="D86" s="19"/>
      <c r="E86" s="44" t="s">
        <v>90</v>
      </c>
      <c r="F86" s="698" t="s">
        <v>1156</v>
      </c>
      <c r="G86" s="698"/>
      <c r="H86" s="698"/>
      <c r="I86" s="698"/>
      <c r="J86" s="698"/>
      <c r="K86" s="698"/>
      <c r="L86" s="698"/>
      <c r="M86" s="29"/>
      <c r="N86" s="115"/>
      <c r="AH86" s="4">
        <v>19</v>
      </c>
    </row>
    <row r="87" spans="1:34" s="4" customFormat="1" ht="60.75" hidden="1" customHeight="1">
      <c r="A87" s="4" t="s">
        <v>160</v>
      </c>
      <c r="B87" s="4" t="s">
        <v>161</v>
      </c>
      <c r="D87" s="837"/>
      <c r="E87" s="721"/>
      <c r="F87" s="808" t="str">
        <f>INDEX(PT_DIFFERENTIATION_VTAR,MATCH(A87,PT_DIFFERENTIATION_VTAR_ID,0))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7" s="808" t="str">
        <f>INDEX(PT_DIFFERENTIATION_NTAR,MATCH(B87,PT_DIFFERENTIATION_NTAR_ID,0))</f>
        <v/>
      </c>
      <c r="H87" s="371"/>
      <c r="I87" s="549"/>
      <c r="J87" s="567"/>
      <c r="K87" s="204"/>
      <c r="L87" s="371" t="s">
        <v>309</v>
      </c>
      <c r="M87" s="673"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7" s="115"/>
      <c r="O87" s="46"/>
      <c r="P87" s="46"/>
      <c r="AH87" s="4">
        <v>0</v>
      </c>
    </row>
    <row r="88" spans="1:34" s="4" customFormat="1" ht="18.75" hidden="1" customHeight="1">
      <c r="C88" s="4" t="s">
        <v>1150</v>
      </c>
      <c r="D88" s="837"/>
      <c r="E88" s="721"/>
      <c r="F88" s="808"/>
      <c r="G88" s="808"/>
      <c r="H88" s="130"/>
      <c r="I88" s="37" t="s">
        <v>1149</v>
      </c>
      <c r="J88" s="37"/>
      <c r="K88" s="130"/>
      <c r="L88" s="68"/>
      <c r="M88" s="705"/>
      <c r="N88" s="115"/>
      <c r="O88" s="46"/>
      <c r="P88" s="46"/>
      <c r="AH88" s="4">
        <v>0</v>
      </c>
    </row>
    <row r="89" spans="1:34" s="4" customFormat="1" ht="0.75" hidden="1" customHeight="1">
      <c r="C89" s="4" t="s">
        <v>1157</v>
      </c>
      <c r="D89" s="837"/>
      <c r="E89" s="721"/>
      <c r="F89" s="808"/>
      <c r="G89" s="130"/>
      <c r="H89" s="130"/>
      <c r="I89" s="37"/>
      <c r="J89" s="37"/>
      <c r="K89" s="130"/>
      <c r="L89" s="68"/>
      <c r="M89" s="705"/>
      <c r="N89" s="115"/>
      <c r="O89" s="46"/>
      <c r="P89" s="46"/>
      <c r="AH89" s="4">
        <v>0</v>
      </c>
    </row>
    <row r="90" spans="1:34" s="4" customFormat="1" ht="45" hidden="1" customHeight="1">
      <c r="A90" s="4" t="s">
        <v>165</v>
      </c>
      <c r="B90" s="4" t="s">
        <v>166</v>
      </c>
      <c r="D90" s="837"/>
      <c r="E90" s="721"/>
      <c r="F90" s="808" t="str">
        <f>INDEX(PT_DIFFERENTIATION_VTAR,MATCH(A90,PT_DIFFERENTIATION_VTAR_ID,0))</f>
        <v/>
      </c>
      <c r="G90" s="808" t="str">
        <f>INDEX(PT_DIFFERENTIATION_NTAR,MATCH(B90,PT_DIFFERENTIATION_NTAR_ID,0))</f>
        <v/>
      </c>
      <c r="H90" s="371"/>
      <c r="I90" s="549"/>
      <c r="J90" s="567"/>
      <c r="K90" s="204"/>
      <c r="L90" s="371" t="s">
        <v>309</v>
      </c>
      <c r="M90" s="676"/>
      <c r="N90" s="115"/>
      <c r="O90" s="46"/>
      <c r="P90" s="46"/>
      <c r="AH90" s="4">
        <v>0</v>
      </c>
    </row>
    <row r="91" spans="1:34" s="4" customFormat="1" ht="18.75" hidden="1" customHeight="1">
      <c r="C91" s="4" t="s">
        <v>1150</v>
      </c>
      <c r="D91" s="837"/>
      <c r="E91" s="721"/>
      <c r="F91" s="808"/>
      <c r="G91" s="808"/>
      <c r="H91" s="130"/>
      <c r="I91" s="37" t="s">
        <v>1149</v>
      </c>
      <c r="J91" s="37"/>
      <c r="K91" s="130"/>
      <c r="L91" s="68"/>
      <c r="M91" s="349"/>
      <c r="N91" s="115"/>
      <c r="O91" s="46"/>
      <c r="P91" s="46"/>
      <c r="AH91" s="4">
        <v>0</v>
      </c>
    </row>
    <row r="92" spans="1:34" s="4" customFormat="1" ht="0.75" hidden="1" customHeight="1">
      <c r="C92" s="4" t="s">
        <v>1157</v>
      </c>
      <c r="D92" s="837"/>
      <c r="E92" s="721"/>
      <c r="F92" s="808"/>
      <c r="G92" s="130"/>
      <c r="H92" s="130"/>
      <c r="I92" s="37"/>
      <c r="J92" s="37"/>
      <c r="K92" s="130"/>
      <c r="L92" s="68"/>
      <c r="M92" s="100"/>
      <c r="N92" s="115"/>
      <c r="O92" s="46"/>
      <c r="P92" s="46"/>
      <c r="AH92" s="4">
        <v>0</v>
      </c>
    </row>
    <row r="93" spans="1:34" s="4" customFormat="1" ht="45" hidden="1" customHeight="1">
      <c r="A93" s="4" t="s">
        <v>172</v>
      </c>
      <c r="B93" s="4" t="s">
        <v>173</v>
      </c>
      <c r="D93" s="837"/>
      <c r="E93" s="721"/>
      <c r="F93" s="808" t="str">
        <f>INDEX(PT_DIFFERENTIATION_VTAR,MATCH(A93,PT_DIFFERENTIATION_VTAR_ID,0))</f>
        <v>Тарифы на теплоноситель, поставляемый теплоснабжающими организациями потребителям, другим теплоснабжающим организациям</v>
      </c>
      <c r="G93" s="808" t="str">
        <f>INDEX(PT_DIFFERENTIATION_NTAR,MATCH(B93,PT_DIFFERENTIATION_NTAR_ID,0))</f>
        <v/>
      </c>
      <c r="H93" s="371"/>
      <c r="I93" s="549"/>
      <c r="J93" s="567"/>
      <c r="K93" s="204"/>
      <c r="L93" s="371" t="s">
        <v>309</v>
      </c>
      <c r="M93" s="100"/>
      <c r="N93" s="115"/>
      <c r="O93" s="46"/>
      <c r="P93" s="46"/>
      <c r="AH93" s="4">
        <v>0</v>
      </c>
    </row>
    <row r="94" spans="1:34" s="4" customFormat="1" ht="18.75" hidden="1" customHeight="1">
      <c r="C94" s="4" t="s">
        <v>1150</v>
      </c>
      <c r="D94" s="837"/>
      <c r="E94" s="721"/>
      <c r="F94" s="808"/>
      <c r="G94" s="808"/>
      <c r="H94" s="130"/>
      <c r="I94" s="37" t="s">
        <v>1149</v>
      </c>
      <c r="J94" s="37"/>
      <c r="K94" s="130"/>
      <c r="L94" s="68"/>
      <c r="M94" s="100"/>
      <c r="N94" s="115"/>
      <c r="O94" s="46"/>
      <c r="P94" s="46"/>
      <c r="AH94" s="4">
        <v>0</v>
      </c>
    </row>
    <row r="95" spans="1:34" s="4" customFormat="1" ht="0.75" hidden="1" customHeight="1">
      <c r="C95" s="4" t="s">
        <v>1157</v>
      </c>
      <c r="D95" s="837"/>
      <c r="E95" s="721"/>
      <c r="F95" s="808"/>
      <c r="G95" s="130"/>
      <c r="H95" s="130"/>
      <c r="I95" s="37"/>
      <c r="J95" s="37"/>
      <c r="K95" s="130"/>
      <c r="L95" s="68"/>
      <c r="M95" s="100"/>
      <c r="N95" s="115"/>
      <c r="O95" s="46"/>
      <c r="P95" s="46"/>
      <c r="AH95" s="4">
        <v>0</v>
      </c>
    </row>
    <row r="96" spans="1:34" s="4" customFormat="1" ht="45" hidden="1" customHeight="1">
      <c r="A96" s="4" t="s">
        <v>178</v>
      </c>
      <c r="B96" s="4" t="s">
        <v>179</v>
      </c>
      <c r="D96" s="837"/>
      <c r="E96" s="721"/>
      <c r="F96" s="808" t="str">
        <f>INDEX(PT_DIFFERENTIATION_VTAR,MATCH(A96,PT_DIFFERENTIATION_VTAR_ID,0))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6" s="808" t="str">
        <f>INDEX(PT_DIFFERENTIATION_NTAR,MATCH(B96,PT_DIFFERENTIATION_NTAR_ID,0))</f>
        <v/>
      </c>
      <c r="H96" s="371"/>
      <c r="I96" s="549"/>
      <c r="J96" s="567"/>
      <c r="K96" s="204"/>
      <c r="L96" s="371" t="s">
        <v>309</v>
      </c>
      <c r="M96" s="100"/>
      <c r="N96" s="115"/>
      <c r="O96" s="46"/>
      <c r="P96" s="46"/>
      <c r="AH96" s="4">
        <v>0</v>
      </c>
    </row>
    <row r="97" spans="1:34" s="4" customFormat="1" ht="18.75" hidden="1" customHeight="1">
      <c r="C97" s="4" t="s">
        <v>1150</v>
      </c>
      <c r="D97" s="837"/>
      <c r="E97" s="721"/>
      <c r="F97" s="808"/>
      <c r="G97" s="808"/>
      <c r="H97" s="130"/>
      <c r="I97" s="37" t="s">
        <v>1149</v>
      </c>
      <c r="J97" s="37"/>
      <c r="K97" s="130"/>
      <c r="L97" s="68"/>
      <c r="M97" s="100"/>
      <c r="N97" s="115"/>
      <c r="O97" s="46"/>
      <c r="P97" s="46"/>
      <c r="AH97" s="4">
        <v>0</v>
      </c>
    </row>
    <row r="98" spans="1:34" s="4" customFormat="1" ht="0.75" hidden="1" customHeight="1">
      <c r="C98" s="4" t="s">
        <v>1157</v>
      </c>
      <c r="D98" s="837"/>
      <c r="E98" s="721"/>
      <c r="F98" s="808"/>
      <c r="G98" s="130"/>
      <c r="H98" s="130"/>
      <c r="I98" s="37"/>
      <c r="J98" s="37"/>
      <c r="K98" s="130"/>
      <c r="L98" s="68"/>
      <c r="M98" s="100"/>
      <c r="N98" s="115"/>
      <c r="O98" s="46"/>
      <c r="P98" s="46"/>
      <c r="AH98" s="4">
        <v>0</v>
      </c>
    </row>
    <row r="99" spans="1:34" s="4" customFormat="1" ht="18.75" hidden="1" customHeight="1">
      <c r="A99" s="4" t="s">
        <v>184</v>
      </c>
      <c r="B99" s="4" t="s">
        <v>185</v>
      </c>
      <c r="D99" s="837"/>
      <c r="E99" s="721"/>
      <c r="F99" s="808" t="str">
        <f>INDEX(PT_DIFFERENTIATION_VTAR,MATCH(A99,PT_DIFFERENTIATION_VTAR_ID,0))</f>
        <v>Тарифы на услуги по передаче тепловой энергии</v>
      </c>
      <c r="G99" s="808" t="str">
        <f>INDEX(PT_DIFFERENTIATION_NTAR,MATCH(B99,PT_DIFFERENTIATION_NTAR_ID,0))</f>
        <v/>
      </c>
      <c r="H99" s="371"/>
      <c r="I99" s="549"/>
      <c r="J99" s="567"/>
      <c r="K99" s="204"/>
      <c r="L99" s="371" t="s">
        <v>309</v>
      </c>
      <c r="M99" s="100"/>
      <c r="N99" s="115"/>
      <c r="O99" s="46"/>
      <c r="P99" s="46"/>
      <c r="AH99" s="4">
        <v>0</v>
      </c>
    </row>
    <row r="100" spans="1:34" s="4" customFormat="1" ht="18.75" hidden="1" customHeight="1">
      <c r="C100" s="4" t="s">
        <v>1150</v>
      </c>
      <c r="D100" s="837"/>
      <c r="E100" s="721"/>
      <c r="F100" s="808"/>
      <c r="G100" s="808"/>
      <c r="H100" s="130"/>
      <c r="I100" s="37" t="s">
        <v>1149</v>
      </c>
      <c r="J100" s="37"/>
      <c r="K100" s="130"/>
      <c r="L100" s="68"/>
      <c r="M100" s="100"/>
      <c r="N100" s="115"/>
      <c r="O100" s="46"/>
      <c r="P100" s="46"/>
      <c r="AH100" s="4">
        <v>0</v>
      </c>
    </row>
    <row r="101" spans="1:34" s="4" customFormat="1" ht="0.75" hidden="1" customHeight="1">
      <c r="C101" s="4" t="s">
        <v>1157</v>
      </c>
      <c r="D101" s="837"/>
      <c r="E101" s="721"/>
      <c r="F101" s="808"/>
      <c r="G101" s="130"/>
      <c r="H101" s="130"/>
      <c r="I101" s="37"/>
      <c r="J101" s="37"/>
      <c r="K101" s="130"/>
      <c r="L101" s="68"/>
      <c r="M101" s="100"/>
      <c r="N101" s="115"/>
      <c r="O101" s="46"/>
      <c r="P101" s="46"/>
      <c r="AH101" s="4">
        <v>0</v>
      </c>
    </row>
    <row r="102" spans="1:34" s="4" customFormat="1" ht="18.75" hidden="1" customHeight="1">
      <c r="A102" s="4" t="s">
        <v>190</v>
      </c>
      <c r="B102" s="4" t="s">
        <v>191</v>
      </c>
      <c r="D102" s="837"/>
      <c r="E102" s="721"/>
      <c r="F102" s="808" t="str">
        <f>INDEX(PT_DIFFERENTIATION_VTAR,MATCH(A102,PT_DIFFERENTIATION_VTAR_ID,0))</f>
        <v>Тарифы на услуги по передаче теплоносителя</v>
      </c>
      <c r="G102" s="808" t="str">
        <f>INDEX(PT_DIFFERENTIATION_NTAR,MATCH(B102,PT_DIFFERENTIATION_NTAR_ID,0))</f>
        <v/>
      </c>
      <c r="H102" s="371"/>
      <c r="I102" s="549"/>
      <c r="J102" s="567"/>
      <c r="K102" s="204"/>
      <c r="L102" s="371" t="s">
        <v>309</v>
      </c>
      <c r="M102" s="100"/>
      <c r="N102" s="115"/>
      <c r="O102" s="46"/>
      <c r="P102" s="46"/>
      <c r="AH102" s="4">
        <v>0</v>
      </c>
    </row>
    <row r="103" spans="1:34" s="4" customFormat="1" ht="18.75" hidden="1" customHeight="1">
      <c r="C103" s="4" t="s">
        <v>1150</v>
      </c>
      <c r="D103" s="837"/>
      <c r="E103" s="721"/>
      <c r="F103" s="808"/>
      <c r="G103" s="808"/>
      <c r="H103" s="130"/>
      <c r="I103" s="37" t="s">
        <v>1149</v>
      </c>
      <c r="J103" s="37"/>
      <c r="K103" s="130"/>
      <c r="L103" s="68"/>
      <c r="M103" s="100"/>
      <c r="N103" s="115"/>
      <c r="O103" s="46"/>
      <c r="P103" s="46"/>
      <c r="AH103" s="4">
        <v>0</v>
      </c>
    </row>
    <row r="104" spans="1:34" s="4" customFormat="1" ht="0.75" hidden="1" customHeight="1">
      <c r="C104" s="4" t="s">
        <v>1157</v>
      </c>
      <c r="D104" s="837"/>
      <c r="E104" s="721"/>
      <c r="F104" s="808"/>
      <c r="G104" s="130"/>
      <c r="H104" s="130"/>
      <c r="I104" s="37"/>
      <c r="J104" s="37"/>
      <c r="K104" s="130"/>
      <c r="L104" s="68"/>
      <c r="M104" s="100"/>
      <c r="N104" s="115"/>
      <c r="O104" s="46"/>
      <c r="P104" s="46"/>
      <c r="AH104" s="4">
        <v>0</v>
      </c>
    </row>
    <row r="105" spans="1:34" s="4" customFormat="1" ht="18.75" hidden="1" customHeight="1">
      <c r="A105" s="4" t="s">
        <v>196</v>
      </c>
      <c r="B105" s="4" t="s">
        <v>197</v>
      </c>
      <c r="D105" s="837"/>
      <c r="E105" s="721"/>
      <c r="F105" s="808" t="str">
        <f>INDEX(PT_DIFFERENTIATION_VTAR,MATCH(A105,PT_DIFFERENTIATION_VTAR_ID,0))</f>
        <v>Плата за услуги по поддержанию резервной тепловой мощности при отсутствии потребления тепловой энергии</v>
      </c>
      <c r="G105" s="808" t="str">
        <f>INDEX(PT_DIFFERENTIATION_NTAR,MATCH(B105,PT_DIFFERENTIATION_NTAR_ID,0))</f>
        <v/>
      </c>
      <c r="H105" s="371"/>
      <c r="I105" s="549"/>
      <c r="J105" s="567"/>
      <c r="K105" s="204"/>
      <c r="L105" s="371" t="s">
        <v>309</v>
      </c>
      <c r="M105" s="100"/>
      <c r="N105" s="115"/>
      <c r="O105" s="46"/>
      <c r="P105" s="46"/>
      <c r="AH105" s="4">
        <v>0</v>
      </c>
    </row>
    <row r="106" spans="1:34" s="4" customFormat="1" ht="18.75" hidden="1" customHeight="1">
      <c r="C106" s="4" t="s">
        <v>1150</v>
      </c>
      <c r="D106" s="837"/>
      <c r="E106" s="721"/>
      <c r="F106" s="808"/>
      <c r="G106" s="808"/>
      <c r="H106" s="130"/>
      <c r="I106" s="37" t="s">
        <v>1149</v>
      </c>
      <c r="J106" s="37"/>
      <c r="K106" s="130"/>
      <c r="L106" s="68"/>
      <c r="M106" s="100"/>
      <c r="N106" s="115"/>
      <c r="O106" s="46"/>
      <c r="P106" s="46"/>
      <c r="AH106" s="4">
        <v>0</v>
      </c>
    </row>
    <row r="107" spans="1:34" s="4" customFormat="1" ht="0.75" hidden="1" customHeight="1">
      <c r="C107" s="4" t="s">
        <v>1157</v>
      </c>
      <c r="D107" s="837"/>
      <c r="E107" s="721"/>
      <c r="F107" s="808"/>
      <c r="G107" s="130"/>
      <c r="H107" s="130"/>
      <c r="I107" s="37"/>
      <c r="J107" s="37"/>
      <c r="K107" s="130"/>
      <c r="L107" s="68"/>
      <c r="M107" s="100"/>
      <c r="N107" s="115"/>
      <c r="O107" s="46"/>
      <c r="P107" s="46"/>
      <c r="AH107" s="4">
        <v>0</v>
      </c>
    </row>
    <row r="108" spans="1:34" s="4" customFormat="1" ht="18.75" hidden="1" customHeight="1">
      <c r="A108" s="4" t="s">
        <v>202</v>
      </c>
      <c r="B108" s="4" t="s">
        <v>203</v>
      </c>
      <c r="D108" s="837"/>
      <c r="E108" s="721"/>
      <c r="F108" s="808" t="str">
        <f>INDEX(PT_DIFFERENTIATION_VTAR,MATCH(A108,PT_DIFFERENTIATION_VTAR_ID,0))</f>
        <v>Плата за подключение (технологическое присоединение) к системе теплоснабжения</v>
      </c>
      <c r="G108" s="808" t="str">
        <f>INDEX(PT_DIFFERENTIATION_NTAR,MATCH(B108,PT_DIFFERENTIATION_NTAR_ID,0))</f>
        <v/>
      </c>
      <c r="H108" s="371"/>
      <c r="I108" s="549"/>
      <c r="J108" s="567"/>
      <c r="K108" s="204"/>
      <c r="L108" s="371" t="s">
        <v>309</v>
      </c>
      <c r="M108" s="100"/>
      <c r="N108" s="115"/>
      <c r="O108" s="46"/>
      <c r="P108" s="46"/>
      <c r="AH108" s="4">
        <v>0</v>
      </c>
    </row>
    <row r="109" spans="1:34" s="4" customFormat="1" ht="18.75" hidden="1" customHeight="1">
      <c r="C109" s="4" t="s">
        <v>1150</v>
      </c>
      <c r="D109" s="837"/>
      <c r="E109" s="721"/>
      <c r="F109" s="808"/>
      <c r="G109" s="808"/>
      <c r="H109" s="130"/>
      <c r="I109" s="37" t="s">
        <v>1149</v>
      </c>
      <c r="J109" s="37"/>
      <c r="K109" s="130"/>
      <c r="L109" s="68"/>
      <c r="M109" s="100"/>
      <c r="N109" s="115"/>
      <c r="O109" s="46"/>
      <c r="P109" s="46"/>
      <c r="AH109" s="4">
        <v>0</v>
      </c>
    </row>
    <row r="110" spans="1:34" s="4" customFormat="1" ht="0.75" hidden="1" customHeight="1">
      <c r="C110" s="4" t="s">
        <v>1157</v>
      </c>
      <c r="D110" s="837"/>
      <c r="E110" s="721"/>
      <c r="F110" s="808"/>
      <c r="G110" s="130"/>
      <c r="H110" s="130"/>
      <c r="I110" s="37"/>
      <c r="J110" s="37"/>
      <c r="K110" s="130"/>
      <c r="L110" s="68"/>
      <c r="M110" s="100"/>
      <c r="N110" s="115"/>
      <c r="O110" s="46"/>
      <c r="P110" s="46"/>
      <c r="AH110" s="4">
        <v>0</v>
      </c>
    </row>
    <row r="111" spans="1:34" s="4" customFormat="1" ht="18.75" hidden="1" customHeight="1">
      <c r="A111" s="4" t="s">
        <v>208</v>
      </c>
      <c r="B111" s="4" t="s">
        <v>209</v>
      </c>
      <c r="D111" s="837"/>
      <c r="E111" s="721"/>
      <c r="F111" s="808" t="str">
        <f>INDEX(PT_DIFFERENTIATION_VTAR,MATCH(A111,PT_DIFFERENTIATION_VTAR_ID,0))</f>
        <v>Плата за подключение (технологическое присоединение) к системе теплоснабжения (индивидуальная)</v>
      </c>
      <c r="G111" s="808" t="str">
        <f>INDEX(PT_DIFFERENTIATION_NTAR,MATCH(B111,PT_DIFFERENTIATION_NTAR_ID,0))</f>
        <v/>
      </c>
      <c r="H111" s="371"/>
      <c r="I111" s="549"/>
      <c r="J111" s="567"/>
      <c r="K111" s="204"/>
      <c r="L111" s="371" t="s">
        <v>309</v>
      </c>
      <c r="M111" s="100"/>
      <c r="N111" s="115"/>
      <c r="O111" s="46"/>
      <c r="P111" s="46"/>
      <c r="AH111" s="4">
        <v>0</v>
      </c>
    </row>
    <row r="112" spans="1:34" s="4" customFormat="1" ht="18.75" hidden="1" customHeight="1">
      <c r="C112" s="4" t="s">
        <v>1150</v>
      </c>
      <c r="D112" s="837"/>
      <c r="E112" s="721"/>
      <c r="F112" s="808"/>
      <c r="G112" s="808"/>
      <c r="H112" s="130"/>
      <c r="I112" s="37" t="s">
        <v>1149</v>
      </c>
      <c r="J112" s="37"/>
      <c r="K112" s="130"/>
      <c r="L112" s="68"/>
      <c r="M112" s="100"/>
      <c r="N112" s="115"/>
      <c r="O112" s="46"/>
      <c r="P112" s="46"/>
      <c r="AH112" s="4">
        <v>0</v>
      </c>
    </row>
    <row r="113" spans="1:34" s="4" customFormat="1" ht="0.75" hidden="1" customHeight="1">
      <c r="C113" s="4" t="s">
        <v>1157</v>
      </c>
      <c r="D113" s="837"/>
      <c r="E113" s="721"/>
      <c r="F113" s="808"/>
      <c r="G113" s="130"/>
      <c r="H113" s="130"/>
      <c r="I113" s="37"/>
      <c r="J113" s="37"/>
      <c r="K113" s="130"/>
      <c r="L113" s="68"/>
      <c r="M113" s="100"/>
      <c r="N113" s="115"/>
      <c r="O113" s="46"/>
      <c r="P113" s="46"/>
      <c r="AH113" s="4">
        <v>0</v>
      </c>
    </row>
    <row r="114" spans="1:34" s="4" customFormat="1" ht="18.75" hidden="1" customHeight="1">
      <c r="A114" s="4" t="s">
        <v>228</v>
      </c>
      <c r="B114" s="4" t="s">
        <v>229</v>
      </c>
      <c r="D114" s="837"/>
      <c r="E114" s="721"/>
      <c r="F114" s="808" t="str">
        <f>INDEX(PT_DIFFERENTIATION_VTAR,MATCH(A114,PT_DIFFERENTIATION_VTAR_ID,0))</f>
        <v>Тариф на питьевую воду (питьевое водоснабжение)</v>
      </c>
      <c r="G114" s="808" t="str">
        <f>INDEX(PT_DIFFERENTIATION_NTAR,MATCH(B114,PT_DIFFERENTIATION_NTAR_ID,0))</f>
        <v/>
      </c>
      <c r="H114" s="371"/>
      <c r="I114" s="549"/>
      <c r="J114" s="567"/>
      <c r="K114" s="204"/>
      <c r="L114" s="371" t="s">
        <v>309</v>
      </c>
      <c r="M114" s="100"/>
      <c r="N114" s="115"/>
      <c r="O114" s="46"/>
      <c r="P114" s="46"/>
      <c r="AH114" s="4">
        <v>0</v>
      </c>
    </row>
    <row r="115" spans="1:34" s="4" customFormat="1" ht="18.75" hidden="1" customHeight="1">
      <c r="C115" s="4" t="s">
        <v>1150</v>
      </c>
      <c r="D115" s="837"/>
      <c r="E115" s="721"/>
      <c r="F115" s="808"/>
      <c r="G115" s="808"/>
      <c r="H115" s="130"/>
      <c r="I115" s="37" t="s">
        <v>1149</v>
      </c>
      <c r="J115" s="37"/>
      <c r="K115" s="130"/>
      <c r="L115" s="68"/>
      <c r="M115" s="100"/>
      <c r="N115" s="115"/>
      <c r="O115" s="46"/>
      <c r="P115" s="46"/>
      <c r="AH115" s="4">
        <v>0</v>
      </c>
    </row>
    <row r="116" spans="1:34" s="4" customFormat="1" ht="0.75" hidden="1" customHeight="1">
      <c r="C116" s="4" t="s">
        <v>1157</v>
      </c>
      <c r="D116" s="837"/>
      <c r="E116" s="721"/>
      <c r="F116" s="808"/>
      <c r="G116" s="130"/>
      <c r="H116" s="130"/>
      <c r="I116" s="37"/>
      <c r="J116" s="37"/>
      <c r="K116" s="130"/>
      <c r="L116" s="68"/>
      <c r="M116" s="100"/>
      <c r="N116" s="115"/>
      <c r="O116" s="46"/>
      <c r="P116" s="46"/>
      <c r="AH116" s="4">
        <v>0</v>
      </c>
    </row>
    <row r="117" spans="1:34" s="4" customFormat="1" ht="18.75" hidden="1" customHeight="1">
      <c r="A117" s="4" t="s">
        <v>233</v>
      </c>
      <c r="B117" s="4" t="s">
        <v>234</v>
      </c>
      <c r="D117" s="837"/>
      <c r="E117" s="721"/>
      <c r="F117" s="808" t="str">
        <f>INDEX(PT_DIFFERENTIATION_VTAR,MATCH(A117,PT_DIFFERENTIATION_VTAR_ID,0))</f>
        <v>Тариф на техническую воду</v>
      </c>
      <c r="G117" s="808" t="str">
        <f>INDEX(PT_DIFFERENTIATION_NTAR,MATCH(B117,PT_DIFFERENTIATION_NTAR_ID,0))</f>
        <v/>
      </c>
      <c r="H117" s="371"/>
      <c r="I117" s="549"/>
      <c r="J117" s="567"/>
      <c r="K117" s="204"/>
      <c r="L117" s="371" t="s">
        <v>309</v>
      </c>
      <c r="M117" s="100"/>
      <c r="N117" s="115"/>
      <c r="O117" s="46"/>
      <c r="P117" s="46"/>
      <c r="AH117" s="4">
        <v>0</v>
      </c>
    </row>
    <row r="118" spans="1:34" s="4" customFormat="1" ht="18.75" hidden="1" customHeight="1">
      <c r="C118" s="4" t="s">
        <v>1150</v>
      </c>
      <c r="D118" s="837"/>
      <c r="E118" s="721"/>
      <c r="F118" s="808"/>
      <c r="G118" s="808"/>
      <c r="H118" s="130"/>
      <c r="I118" s="37" t="s">
        <v>1149</v>
      </c>
      <c r="J118" s="37"/>
      <c r="K118" s="130"/>
      <c r="L118" s="68"/>
      <c r="M118" s="100"/>
      <c r="N118" s="115"/>
      <c r="O118" s="46"/>
      <c r="P118" s="46"/>
      <c r="AH118" s="4">
        <v>0</v>
      </c>
    </row>
    <row r="119" spans="1:34" s="4" customFormat="1" ht="0.75" hidden="1" customHeight="1">
      <c r="C119" s="4" t="s">
        <v>1157</v>
      </c>
      <c r="D119" s="837"/>
      <c r="E119" s="721"/>
      <c r="F119" s="808"/>
      <c r="G119" s="130"/>
      <c r="H119" s="130"/>
      <c r="I119" s="37"/>
      <c r="J119" s="37"/>
      <c r="K119" s="130"/>
      <c r="L119" s="68"/>
      <c r="M119" s="100"/>
      <c r="N119" s="115"/>
      <c r="O119" s="46"/>
      <c r="P119" s="46"/>
      <c r="AH119" s="4">
        <v>0</v>
      </c>
    </row>
    <row r="120" spans="1:34" s="4" customFormat="1" ht="18.75" hidden="1" customHeight="1">
      <c r="A120" s="4" t="s">
        <v>238</v>
      </c>
      <c r="B120" s="4" t="s">
        <v>239</v>
      </c>
      <c r="D120" s="837"/>
      <c r="E120" s="721"/>
      <c r="F120" s="808" t="str">
        <f>INDEX(PT_DIFFERENTIATION_VTAR,MATCH(A120,PT_DIFFERENTIATION_VTAR_ID,0))</f>
        <v>Тариф на транспортировку воды</v>
      </c>
      <c r="G120" s="808" t="str">
        <f>INDEX(PT_DIFFERENTIATION_NTAR,MATCH(B120,PT_DIFFERENTIATION_NTAR_ID,0))</f>
        <v/>
      </c>
      <c r="H120" s="371"/>
      <c r="I120" s="549"/>
      <c r="J120" s="567"/>
      <c r="K120" s="204"/>
      <c r="L120" s="371" t="s">
        <v>309</v>
      </c>
      <c r="M120" s="100"/>
      <c r="N120" s="115"/>
      <c r="O120" s="46"/>
      <c r="P120" s="46"/>
      <c r="AH120" s="4">
        <v>0</v>
      </c>
    </row>
    <row r="121" spans="1:34" s="4" customFormat="1" ht="18.75" hidden="1" customHeight="1">
      <c r="C121" s="4" t="s">
        <v>1150</v>
      </c>
      <c r="D121" s="837"/>
      <c r="E121" s="721"/>
      <c r="F121" s="808"/>
      <c r="G121" s="808"/>
      <c r="H121" s="130"/>
      <c r="I121" s="37" t="s">
        <v>1149</v>
      </c>
      <c r="J121" s="37"/>
      <c r="K121" s="130"/>
      <c r="L121" s="68"/>
      <c r="M121" s="100"/>
      <c r="N121" s="115"/>
      <c r="O121" s="46"/>
      <c r="P121" s="46"/>
      <c r="AH121" s="4">
        <v>0</v>
      </c>
    </row>
    <row r="122" spans="1:34" s="4" customFormat="1" ht="0.75" hidden="1" customHeight="1">
      <c r="C122" s="4" t="s">
        <v>1157</v>
      </c>
      <c r="D122" s="837"/>
      <c r="E122" s="721"/>
      <c r="F122" s="808"/>
      <c r="G122" s="130"/>
      <c r="H122" s="130"/>
      <c r="I122" s="37"/>
      <c r="J122" s="37"/>
      <c r="K122" s="130"/>
      <c r="L122" s="68"/>
      <c r="M122" s="100"/>
      <c r="N122" s="115"/>
      <c r="O122" s="46"/>
      <c r="P122" s="46"/>
      <c r="AH122" s="4">
        <v>0</v>
      </c>
    </row>
    <row r="123" spans="1:34" s="4" customFormat="1" ht="18.75" hidden="1" customHeight="1">
      <c r="A123" s="4" t="s">
        <v>243</v>
      </c>
      <c r="B123" s="4" t="s">
        <v>244</v>
      </c>
      <c r="D123" s="837"/>
      <c r="E123" s="721"/>
      <c r="F123" s="808" t="str">
        <f>INDEX(PT_DIFFERENTIATION_VTAR,MATCH(A123,PT_DIFFERENTIATION_VTAR_ID,0))</f>
        <v>Тариф на подвоз воды</v>
      </c>
      <c r="G123" s="808" t="str">
        <f>INDEX(PT_DIFFERENTIATION_NTAR,MATCH(B123,PT_DIFFERENTIATION_NTAR_ID,0))</f>
        <v/>
      </c>
      <c r="H123" s="371"/>
      <c r="I123" s="549"/>
      <c r="J123" s="567"/>
      <c r="K123" s="204"/>
      <c r="L123" s="371" t="s">
        <v>309</v>
      </c>
      <c r="M123" s="100"/>
      <c r="N123" s="115"/>
      <c r="O123" s="46"/>
      <c r="P123" s="46"/>
      <c r="AH123" s="4">
        <v>0</v>
      </c>
    </row>
    <row r="124" spans="1:34" s="4" customFormat="1" ht="18.75" hidden="1" customHeight="1">
      <c r="C124" s="4" t="s">
        <v>1150</v>
      </c>
      <c r="D124" s="837"/>
      <c r="E124" s="721"/>
      <c r="F124" s="808"/>
      <c r="G124" s="808"/>
      <c r="H124" s="130"/>
      <c r="I124" s="37" t="s">
        <v>1149</v>
      </c>
      <c r="J124" s="37"/>
      <c r="K124" s="130"/>
      <c r="L124" s="68"/>
      <c r="M124" s="100"/>
      <c r="N124" s="115"/>
      <c r="O124" s="46"/>
      <c r="P124" s="46"/>
      <c r="AH124" s="4">
        <v>0</v>
      </c>
    </row>
    <row r="125" spans="1:34" s="4" customFormat="1" ht="0.75" hidden="1" customHeight="1">
      <c r="C125" s="4" t="s">
        <v>1157</v>
      </c>
      <c r="D125" s="837"/>
      <c r="E125" s="721"/>
      <c r="F125" s="808"/>
      <c r="G125" s="130"/>
      <c r="H125" s="130"/>
      <c r="I125" s="37"/>
      <c r="J125" s="37"/>
      <c r="K125" s="130"/>
      <c r="L125" s="68"/>
      <c r="M125" s="100"/>
      <c r="N125" s="115"/>
      <c r="O125" s="46"/>
      <c r="P125" s="46"/>
      <c r="AH125" s="4">
        <v>0</v>
      </c>
    </row>
    <row r="126" spans="1:34" s="4" customFormat="1" ht="18.75" hidden="1" customHeight="1">
      <c r="A126" s="4" t="s">
        <v>248</v>
      </c>
      <c r="B126" s="4" t="s">
        <v>249</v>
      </c>
      <c r="D126" s="837"/>
      <c r="E126" s="721"/>
      <c r="F126" s="808" t="str">
        <f>INDEX(PT_DIFFERENTIATION_VTAR,MATCH(A126,PT_DIFFERENTIATION_VTAR_ID,0))</f>
        <v>Тариф на подключение (технологическое присоединение) к централизованной системе холодного водоснабжения</v>
      </c>
      <c r="G126" s="808" t="str">
        <f>INDEX(PT_DIFFERENTIATION_NTAR,MATCH(B126,PT_DIFFERENTIATION_NTAR_ID,0))</f>
        <v/>
      </c>
      <c r="H126" s="371"/>
      <c r="I126" s="549"/>
      <c r="J126" s="567"/>
      <c r="K126" s="204"/>
      <c r="L126" s="371" t="s">
        <v>309</v>
      </c>
      <c r="M126" s="100"/>
      <c r="N126" s="115"/>
      <c r="O126" s="46"/>
      <c r="P126" s="46"/>
      <c r="AH126" s="4">
        <v>0</v>
      </c>
    </row>
    <row r="127" spans="1:34" s="4" customFormat="1" ht="18.75" hidden="1" customHeight="1">
      <c r="C127" s="4" t="s">
        <v>1150</v>
      </c>
      <c r="D127" s="837"/>
      <c r="E127" s="721"/>
      <c r="F127" s="808"/>
      <c r="G127" s="808"/>
      <c r="H127" s="130"/>
      <c r="I127" s="37" t="s">
        <v>1149</v>
      </c>
      <c r="J127" s="37"/>
      <c r="K127" s="130"/>
      <c r="L127" s="68"/>
      <c r="M127" s="100"/>
      <c r="N127" s="115"/>
      <c r="O127" s="46"/>
      <c r="P127" s="46"/>
      <c r="AH127" s="4">
        <v>0</v>
      </c>
    </row>
    <row r="128" spans="1:34" s="4" customFormat="1" ht="0.75" hidden="1" customHeight="1">
      <c r="C128" s="4" t="s">
        <v>1157</v>
      </c>
      <c r="D128" s="837"/>
      <c r="E128" s="721"/>
      <c r="F128" s="808"/>
      <c r="G128" s="130"/>
      <c r="H128" s="130"/>
      <c r="I128" s="37"/>
      <c r="J128" s="37"/>
      <c r="K128" s="130"/>
      <c r="L128" s="68"/>
      <c r="M128" s="100"/>
      <c r="N128" s="115"/>
      <c r="O128" s="46"/>
      <c r="P128" s="46"/>
      <c r="AH128" s="4">
        <v>0</v>
      </c>
    </row>
    <row r="129" spans="1:34" s="4" customFormat="1" ht="18.75" hidden="1" customHeight="1">
      <c r="A129" s="4" t="s">
        <v>253</v>
      </c>
      <c r="B129" s="4" t="s">
        <v>254</v>
      </c>
      <c r="D129" s="837"/>
      <c r="E129" s="721"/>
      <c r="F129" s="808" t="str">
        <f>INDEX(PT_DIFFERENTIATION_VTAR,MATCH(A129,PT_DIFFERENTIATION_VTAR_ID,0))</f>
        <v>Тариф на горячую воду (горячее водоснабжение)</v>
      </c>
      <c r="G129" s="808" t="str">
        <f>INDEX(PT_DIFFERENTIATION_NTAR,MATCH(B129,PT_DIFFERENTIATION_NTAR_ID,0))</f>
        <v/>
      </c>
      <c r="H129" s="371"/>
      <c r="I129" s="549"/>
      <c r="J129" s="567"/>
      <c r="K129" s="204"/>
      <c r="L129" s="371" t="s">
        <v>309</v>
      </c>
      <c r="M129" s="100"/>
      <c r="N129" s="115"/>
      <c r="O129" s="46"/>
      <c r="P129" s="46"/>
      <c r="AH129" s="4">
        <v>0</v>
      </c>
    </row>
    <row r="130" spans="1:34" s="4" customFormat="1" ht="18.75" hidden="1" customHeight="1">
      <c r="C130" s="4" t="s">
        <v>1150</v>
      </c>
      <c r="D130" s="837"/>
      <c r="E130" s="721"/>
      <c r="F130" s="808"/>
      <c r="G130" s="808"/>
      <c r="H130" s="130"/>
      <c r="I130" s="37" t="s">
        <v>1149</v>
      </c>
      <c r="J130" s="37"/>
      <c r="K130" s="130"/>
      <c r="L130" s="68"/>
      <c r="M130" s="100"/>
      <c r="N130" s="115"/>
      <c r="O130" s="46"/>
      <c r="P130" s="46"/>
      <c r="AH130" s="4">
        <v>0</v>
      </c>
    </row>
    <row r="131" spans="1:34" s="4" customFormat="1" ht="0.75" hidden="1" customHeight="1">
      <c r="C131" s="4" t="s">
        <v>1157</v>
      </c>
      <c r="D131" s="837"/>
      <c r="E131" s="721"/>
      <c r="F131" s="808"/>
      <c r="G131" s="130"/>
      <c r="H131" s="130"/>
      <c r="I131" s="37"/>
      <c r="J131" s="37"/>
      <c r="K131" s="130"/>
      <c r="L131" s="68"/>
      <c r="M131" s="100"/>
      <c r="N131" s="115"/>
      <c r="O131" s="46"/>
      <c r="P131" s="46"/>
      <c r="AH131" s="4">
        <v>0</v>
      </c>
    </row>
    <row r="132" spans="1:34" s="4" customFormat="1" ht="18.75" hidden="1" customHeight="1">
      <c r="A132" s="4" t="s">
        <v>258</v>
      </c>
      <c r="B132" s="4" t="s">
        <v>259</v>
      </c>
      <c r="D132" s="837"/>
      <c r="E132" s="721"/>
      <c r="F132" s="808" t="str">
        <f>INDEX(PT_DIFFERENTIATION_VTAR,MATCH(A132,PT_DIFFERENTIATION_VTAR_ID,0))</f>
        <v>Тариф на транспортировку горячей воды</v>
      </c>
      <c r="G132" s="808" t="str">
        <f>INDEX(PT_DIFFERENTIATION_NTAR,MATCH(B132,PT_DIFFERENTIATION_NTAR_ID,0))</f>
        <v/>
      </c>
      <c r="H132" s="371"/>
      <c r="I132" s="549"/>
      <c r="J132" s="567"/>
      <c r="K132" s="204"/>
      <c r="L132" s="371" t="s">
        <v>309</v>
      </c>
      <c r="M132" s="100"/>
      <c r="N132" s="115"/>
      <c r="O132" s="46"/>
      <c r="P132" s="46"/>
      <c r="AH132" s="4">
        <v>0</v>
      </c>
    </row>
    <row r="133" spans="1:34" s="4" customFormat="1" ht="18.75" hidden="1" customHeight="1">
      <c r="C133" s="4" t="s">
        <v>1150</v>
      </c>
      <c r="D133" s="837"/>
      <c r="E133" s="721"/>
      <c r="F133" s="808"/>
      <c r="G133" s="808"/>
      <c r="H133" s="130"/>
      <c r="I133" s="37" t="s">
        <v>1149</v>
      </c>
      <c r="J133" s="37"/>
      <c r="K133" s="130"/>
      <c r="L133" s="68"/>
      <c r="M133" s="100"/>
      <c r="N133" s="115"/>
      <c r="O133" s="46"/>
      <c r="P133" s="46"/>
      <c r="AH133" s="4">
        <v>0</v>
      </c>
    </row>
    <row r="134" spans="1:34" s="4" customFormat="1" ht="0.75" hidden="1" customHeight="1">
      <c r="C134" s="4" t="s">
        <v>1157</v>
      </c>
      <c r="D134" s="837"/>
      <c r="E134" s="721"/>
      <c r="F134" s="808"/>
      <c r="G134" s="130"/>
      <c r="H134" s="130"/>
      <c r="I134" s="37"/>
      <c r="J134" s="37"/>
      <c r="K134" s="130"/>
      <c r="L134" s="68"/>
      <c r="M134" s="100"/>
      <c r="N134" s="115"/>
      <c r="O134" s="46"/>
      <c r="P134" s="46"/>
      <c r="AH134" s="4">
        <v>0</v>
      </c>
    </row>
    <row r="135" spans="1:34" s="4" customFormat="1" ht="18.75" hidden="1" customHeight="1">
      <c r="A135" s="4" t="s">
        <v>263</v>
      </c>
      <c r="B135" s="4" t="s">
        <v>264</v>
      </c>
      <c r="D135" s="837"/>
      <c r="E135" s="721"/>
      <c r="F135" s="808" t="str">
        <f>INDEX(PT_DIFFERENTIATION_VTAR,MATCH(A135,PT_DIFFERENTIATION_VTAR_ID,0))</f>
        <v>Тариф на подключение (технологическое присоединение) к централизованной системе горячего водоснабжения</v>
      </c>
      <c r="G135" s="808" t="str">
        <f>INDEX(PT_DIFFERENTIATION_NTAR,MATCH(B135,PT_DIFFERENTIATION_NTAR_ID,0))</f>
        <v/>
      </c>
      <c r="H135" s="371"/>
      <c r="I135" s="549"/>
      <c r="J135" s="567"/>
      <c r="K135" s="204"/>
      <c r="L135" s="371" t="s">
        <v>309</v>
      </c>
      <c r="M135" s="100"/>
      <c r="N135" s="115"/>
      <c r="O135" s="46"/>
      <c r="P135" s="46"/>
      <c r="AH135" s="4">
        <v>0</v>
      </c>
    </row>
    <row r="136" spans="1:34" s="4" customFormat="1" ht="18.75" hidden="1" customHeight="1">
      <c r="C136" s="4" t="s">
        <v>1150</v>
      </c>
      <c r="D136" s="837"/>
      <c r="E136" s="721"/>
      <c r="F136" s="808"/>
      <c r="G136" s="808"/>
      <c r="H136" s="130"/>
      <c r="I136" s="37" t="s">
        <v>1149</v>
      </c>
      <c r="J136" s="37"/>
      <c r="K136" s="130"/>
      <c r="L136" s="68"/>
      <c r="M136" s="100"/>
      <c r="N136" s="115"/>
      <c r="O136" s="46"/>
      <c r="P136" s="46"/>
      <c r="AH136" s="4">
        <v>0</v>
      </c>
    </row>
    <row r="137" spans="1:34" s="4" customFormat="1" ht="0.75" hidden="1" customHeight="1">
      <c r="C137" s="4" t="s">
        <v>1157</v>
      </c>
      <c r="D137" s="837"/>
      <c r="E137" s="721"/>
      <c r="F137" s="808"/>
      <c r="G137" s="130"/>
      <c r="H137" s="130"/>
      <c r="I137" s="37"/>
      <c r="J137" s="37"/>
      <c r="K137" s="130"/>
      <c r="L137" s="68"/>
      <c r="M137" s="100"/>
      <c r="N137" s="115"/>
      <c r="O137" s="46"/>
      <c r="P137" s="46"/>
      <c r="AH137" s="4">
        <v>0</v>
      </c>
    </row>
    <row r="138" spans="1:34" s="4" customFormat="1" ht="18.75" hidden="1" customHeight="1">
      <c r="A138" s="4" t="s">
        <v>268</v>
      </c>
      <c r="B138" s="4" t="s">
        <v>269</v>
      </c>
      <c r="D138" s="837"/>
      <c r="E138" s="721"/>
      <c r="F138" s="808" t="str">
        <f>INDEX(PT_DIFFERENTIATION_VTAR,MATCH(A138,PT_DIFFERENTIATION_VTAR_ID,0))</f>
        <v>Тариф на водоотведение</v>
      </c>
      <c r="G138" s="808" t="str">
        <f>INDEX(PT_DIFFERENTIATION_NTAR,MATCH(B138,PT_DIFFERENTIATION_NTAR_ID,0))</f>
        <v/>
      </c>
      <c r="H138" s="371"/>
      <c r="I138" s="549"/>
      <c r="J138" s="567"/>
      <c r="K138" s="204"/>
      <c r="L138" s="371" t="s">
        <v>309</v>
      </c>
      <c r="M138" s="100"/>
      <c r="N138" s="115"/>
      <c r="O138" s="46"/>
      <c r="P138" s="46"/>
      <c r="AH138" s="4">
        <v>0</v>
      </c>
    </row>
    <row r="139" spans="1:34" s="4" customFormat="1" ht="18.75" hidden="1" customHeight="1">
      <c r="C139" s="4" t="s">
        <v>1150</v>
      </c>
      <c r="D139" s="837"/>
      <c r="E139" s="721"/>
      <c r="F139" s="808"/>
      <c r="G139" s="808"/>
      <c r="H139" s="130"/>
      <c r="I139" s="37" t="s">
        <v>1149</v>
      </c>
      <c r="J139" s="37"/>
      <c r="K139" s="130"/>
      <c r="L139" s="68"/>
      <c r="M139" s="100"/>
      <c r="N139" s="115"/>
      <c r="O139" s="46"/>
      <c r="P139" s="46"/>
      <c r="AH139" s="4">
        <v>0</v>
      </c>
    </row>
    <row r="140" spans="1:34" s="4" customFormat="1" ht="0.75" hidden="1" customHeight="1">
      <c r="C140" s="4" t="s">
        <v>1157</v>
      </c>
      <c r="D140" s="837"/>
      <c r="E140" s="721"/>
      <c r="F140" s="808"/>
      <c r="G140" s="130"/>
      <c r="H140" s="130"/>
      <c r="I140" s="37"/>
      <c r="J140" s="37"/>
      <c r="K140" s="130"/>
      <c r="L140" s="68"/>
      <c r="M140" s="100"/>
      <c r="N140" s="115"/>
      <c r="O140" s="46"/>
      <c r="P140" s="46"/>
      <c r="AH140" s="4">
        <v>0</v>
      </c>
    </row>
    <row r="141" spans="1:34" s="4" customFormat="1" ht="18.75" hidden="1" customHeight="1">
      <c r="A141" s="4" t="s">
        <v>273</v>
      </c>
      <c r="B141" s="4" t="s">
        <v>274</v>
      </c>
      <c r="D141" s="837"/>
      <c r="E141" s="721"/>
      <c r="F141" s="808" t="str">
        <f>INDEX(PT_DIFFERENTIATION_VTAR,MATCH(A141,PT_DIFFERENTIATION_VTAR_ID,0))</f>
        <v>Тариф на транспортировку сточных вод</v>
      </c>
      <c r="G141" s="808" t="str">
        <f>INDEX(PT_DIFFERENTIATION_NTAR,MATCH(B141,PT_DIFFERENTIATION_NTAR_ID,0))</f>
        <v/>
      </c>
      <c r="H141" s="371"/>
      <c r="I141" s="549"/>
      <c r="J141" s="567"/>
      <c r="K141" s="204"/>
      <c r="L141" s="371" t="s">
        <v>309</v>
      </c>
      <c r="M141" s="100"/>
      <c r="N141" s="115"/>
      <c r="O141" s="46"/>
      <c r="P141" s="46"/>
      <c r="AH141" s="4">
        <v>0</v>
      </c>
    </row>
    <row r="142" spans="1:34" s="4" customFormat="1" ht="18.75" hidden="1" customHeight="1">
      <c r="C142" s="4" t="s">
        <v>1150</v>
      </c>
      <c r="D142" s="837"/>
      <c r="E142" s="721"/>
      <c r="F142" s="808"/>
      <c r="G142" s="808"/>
      <c r="H142" s="130"/>
      <c r="I142" s="37" t="s">
        <v>1149</v>
      </c>
      <c r="J142" s="37"/>
      <c r="K142" s="130"/>
      <c r="L142" s="68"/>
      <c r="M142" s="100"/>
      <c r="N142" s="115"/>
      <c r="O142" s="46"/>
      <c r="P142" s="46"/>
      <c r="AH142" s="4">
        <v>0</v>
      </c>
    </row>
    <row r="143" spans="1:34" s="4" customFormat="1" ht="0.75" hidden="1" customHeight="1">
      <c r="C143" s="4" t="s">
        <v>1157</v>
      </c>
      <c r="D143" s="837"/>
      <c r="E143" s="721"/>
      <c r="F143" s="808"/>
      <c r="G143" s="130"/>
      <c r="H143" s="130"/>
      <c r="I143" s="37"/>
      <c r="J143" s="37"/>
      <c r="K143" s="130"/>
      <c r="L143" s="68"/>
      <c r="M143" s="100"/>
      <c r="N143" s="115"/>
      <c r="O143" s="46"/>
      <c r="P143" s="46"/>
      <c r="AH143" s="4">
        <v>0</v>
      </c>
    </row>
    <row r="144" spans="1:34" s="4" customFormat="1" ht="18.75" hidden="1" customHeight="1">
      <c r="A144" s="4" t="s">
        <v>278</v>
      </c>
      <c r="B144" s="4" t="s">
        <v>279</v>
      </c>
      <c r="D144" s="837"/>
      <c r="E144" s="721"/>
      <c r="F144" s="808" t="str">
        <f>INDEX(PT_DIFFERENTIATION_VTAR,MATCH(A144,PT_DIFFERENTIATION_VTAR_ID,0))</f>
        <v>Тариф на подключение (технологическое присоединение) к централизованной системе водоотведения</v>
      </c>
      <c r="G144" s="808" t="str">
        <f>INDEX(PT_DIFFERENTIATION_NTAR,MATCH(B144,PT_DIFFERENTIATION_NTAR_ID,0))</f>
        <v/>
      </c>
      <c r="H144" s="371"/>
      <c r="I144" s="549"/>
      <c r="J144" s="567"/>
      <c r="K144" s="204"/>
      <c r="L144" s="371" t="s">
        <v>309</v>
      </c>
      <c r="M144" s="100"/>
      <c r="N144" s="115"/>
      <c r="O144" s="46"/>
      <c r="P144" s="46"/>
      <c r="AH144" s="4">
        <v>0</v>
      </c>
    </row>
    <row r="145" spans="1:34" s="4" customFormat="1" ht="18.75" hidden="1" customHeight="1">
      <c r="C145" s="4" t="s">
        <v>1150</v>
      </c>
      <c r="D145" s="837"/>
      <c r="E145" s="721"/>
      <c r="F145" s="808"/>
      <c r="G145" s="808"/>
      <c r="H145" s="130"/>
      <c r="I145" s="37" t="s">
        <v>1149</v>
      </c>
      <c r="J145" s="37"/>
      <c r="K145" s="130"/>
      <c r="L145" s="68"/>
      <c r="M145" s="100"/>
      <c r="N145" s="115"/>
      <c r="O145" s="46"/>
      <c r="P145" s="46"/>
      <c r="AH145" s="4">
        <v>0</v>
      </c>
    </row>
    <row r="146" spans="1:34" s="4" customFormat="1" ht="1.1499999999999999" customHeight="1">
      <c r="C146" s="4" t="s">
        <v>1157</v>
      </c>
      <c r="D146" s="837"/>
      <c r="E146" s="721"/>
      <c r="F146" s="808"/>
      <c r="G146" s="130"/>
      <c r="H146" s="130"/>
      <c r="I146" s="37"/>
      <c r="J146" s="37"/>
      <c r="K146" s="130"/>
      <c r="L146" s="68"/>
      <c r="M146" s="100"/>
      <c r="N146" s="115"/>
      <c r="O146" s="46"/>
      <c r="P146" s="46"/>
      <c r="AH146" s="4">
        <v>1</v>
      </c>
    </row>
    <row r="147" spans="1:34" ht="19.899999999999999" customHeight="1">
      <c r="A147" s="4"/>
      <c r="B147" s="4"/>
      <c r="D147" s="19"/>
      <c r="E147" s="44" t="s">
        <v>91</v>
      </c>
      <c r="F147" s="698"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полезного отпуска тепловой энергии (теплоносителя)</v>
      </c>
      <c r="G147" s="698"/>
      <c r="H147" s="698"/>
      <c r="I147" s="698"/>
      <c r="J147" s="698"/>
      <c r="K147" s="698"/>
      <c r="L147" s="698"/>
      <c r="M147" s="29"/>
      <c r="N147" s="115"/>
      <c r="AH147" s="4">
        <v>19</v>
      </c>
    </row>
    <row r="148" spans="1:34" s="4" customFormat="1" ht="60.75" hidden="1" customHeight="1">
      <c r="A148" s="4" t="s">
        <v>160</v>
      </c>
      <c r="B148" s="4" t="s">
        <v>161</v>
      </c>
      <c r="D148" s="837"/>
      <c r="E148" s="721"/>
      <c r="F148" s="808" t="str">
        <f>INDEX(PT_DIFFERENTIATION_VTAR,MATCH(A148,PT_DIFFERENTIATION_VTAR_ID,0))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8" s="808" t="str">
        <f>INDEX(PT_DIFFERENTIATION_NTAR,MATCH(B148,PT_DIFFERENTIATION_NTAR_ID,0))</f>
        <v/>
      </c>
      <c r="H148" s="371"/>
      <c r="I148" s="549"/>
      <c r="J148" s="567"/>
      <c r="K148" s="204"/>
      <c r="L148" s="371" t="s">
        <v>309</v>
      </c>
      <c r="M148" s="673"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годового объема полезного отпуска тепловой энергии (теплоносителя) указывается в колонке «Информация» в тыс. Гкал
В случае дифференциации полезного отпуска тепловой энергии (теплоносителя) по видам тарифов и (или) по срокам действия тарифов информация указывается в отдельных строках.</v>
      </c>
      <c r="N148" s="115"/>
      <c r="O148" s="46"/>
      <c r="P148" s="46"/>
      <c r="AH148" s="4">
        <v>0</v>
      </c>
    </row>
    <row r="149" spans="1:34" s="4" customFormat="1" ht="18.75" hidden="1" customHeight="1">
      <c r="C149" s="4" t="s">
        <v>1150</v>
      </c>
      <c r="D149" s="837"/>
      <c r="E149" s="721"/>
      <c r="F149" s="808"/>
      <c r="G149" s="808"/>
      <c r="H149" s="130"/>
      <c r="I149" s="37" t="s">
        <v>1149</v>
      </c>
      <c r="J149" s="37"/>
      <c r="K149" s="130"/>
      <c r="L149" s="68"/>
      <c r="M149" s="705"/>
      <c r="N149" s="115"/>
      <c r="O149" s="46"/>
      <c r="P149" s="46"/>
      <c r="AH149" s="4">
        <v>0</v>
      </c>
    </row>
    <row r="150" spans="1:34" s="4" customFormat="1" ht="0.75" hidden="1" customHeight="1">
      <c r="C150" s="4" t="s">
        <v>1157</v>
      </c>
      <c r="D150" s="837"/>
      <c r="E150" s="721"/>
      <c r="F150" s="808"/>
      <c r="G150" s="130"/>
      <c r="H150" s="130"/>
      <c r="I150" s="37"/>
      <c r="J150" s="37"/>
      <c r="K150" s="130"/>
      <c r="L150" s="68"/>
      <c r="M150" s="705"/>
      <c r="N150" s="115"/>
      <c r="O150" s="46"/>
      <c r="P150" s="46"/>
      <c r="AH150" s="4">
        <v>0</v>
      </c>
    </row>
    <row r="151" spans="1:34" s="4" customFormat="1" ht="45" hidden="1" customHeight="1">
      <c r="A151" s="4" t="s">
        <v>165</v>
      </c>
      <c r="B151" s="4" t="s">
        <v>166</v>
      </c>
      <c r="D151" s="837"/>
      <c r="E151" s="721"/>
      <c r="F151" s="808" t="str">
        <f>INDEX(PT_DIFFERENTIATION_VTAR,MATCH(A151,PT_DIFFERENTIATION_VTAR_ID,0))</f>
        <v/>
      </c>
      <c r="G151" s="808" t="str">
        <f>INDEX(PT_DIFFERENTIATION_NTAR,MATCH(B151,PT_DIFFERENTIATION_NTAR_ID,0))</f>
        <v/>
      </c>
      <c r="H151" s="371"/>
      <c r="I151" s="549"/>
      <c r="J151" s="567"/>
      <c r="K151" s="204"/>
      <c r="L151" s="371" t="s">
        <v>309</v>
      </c>
      <c r="M151" s="676"/>
      <c r="N151" s="115"/>
      <c r="O151" s="46"/>
      <c r="P151" s="46"/>
      <c r="AH151" s="4">
        <v>0</v>
      </c>
    </row>
    <row r="152" spans="1:34" s="4" customFormat="1" ht="18.75" hidden="1" customHeight="1">
      <c r="C152" s="4" t="s">
        <v>1150</v>
      </c>
      <c r="D152" s="837"/>
      <c r="E152" s="721"/>
      <c r="F152" s="808"/>
      <c r="G152" s="808"/>
      <c r="H152" s="130"/>
      <c r="I152" s="37" t="s">
        <v>1149</v>
      </c>
      <c r="J152" s="37"/>
      <c r="K152" s="130"/>
      <c r="L152" s="68"/>
      <c r="M152" s="349"/>
      <c r="N152" s="115"/>
      <c r="O152" s="46"/>
      <c r="P152" s="46"/>
      <c r="AH152" s="4">
        <v>0</v>
      </c>
    </row>
    <row r="153" spans="1:34" s="4" customFormat="1" ht="0.75" hidden="1" customHeight="1">
      <c r="C153" s="4" t="s">
        <v>1157</v>
      </c>
      <c r="D153" s="837"/>
      <c r="E153" s="721"/>
      <c r="F153" s="808"/>
      <c r="G153" s="130"/>
      <c r="H153" s="130"/>
      <c r="I153" s="37"/>
      <c r="J153" s="37"/>
      <c r="K153" s="130"/>
      <c r="L153" s="68"/>
      <c r="M153" s="100"/>
      <c r="N153" s="115"/>
      <c r="O153" s="46"/>
      <c r="P153" s="46"/>
      <c r="AH153" s="4">
        <v>0</v>
      </c>
    </row>
    <row r="154" spans="1:34" s="4" customFormat="1" ht="45" hidden="1" customHeight="1">
      <c r="A154" s="4" t="s">
        <v>172</v>
      </c>
      <c r="B154" s="4" t="s">
        <v>173</v>
      </c>
      <c r="D154" s="837"/>
      <c r="E154" s="721"/>
      <c r="F154" s="808" t="str">
        <f>INDEX(PT_DIFFERENTIATION_VTAR,MATCH(A154,PT_DIFFERENTIATION_VTAR_ID,0))</f>
        <v>Тарифы на теплоноситель, поставляемый теплоснабжающими организациями потребителям, другим теплоснабжающим организациям</v>
      </c>
      <c r="G154" s="808" t="str">
        <f>INDEX(PT_DIFFERENTIATION_NTAR,MATCH(B154,PT_DIFFERENTIATION_NTAR_ID,0))</f>
        <v/>
      </c>
      <c r="H154" s="371"/>
      <c r="I154" s="549"/>
      <c r="J154" s="567"/>
      <c r="K154" s="204"/>
      <c r="L154" s="371" t="s">
        <v>309</v>
      </c>
      <c r="M154" s="100"/>
      <c r="N154" s="115"/>
      <c r="O154" s="46"/>
      <c r="P154" s="46"/>
      <c r="AH154" s="4">
        <v>0</v>
      </c>
    </row>
    <row r="155" spans="1:34" s="4" customFormat="1" ht="18.75" hidden="1" customHeight="1">
      <c r="C155" s="4" t="s">
        <v>1150</v>
      </c>
      <c r="D155" s="837"/>
      <c r="E155" s="721"/>
      <c r="F155" s="808"/>
      <c r="G155" s="808"/>
      <c r="H155" s="130"/>
      <c r="I155" s="37" t="s">
        <v>1149</v>
      </c>
      <c r="J155" s="37"/>
      <c r="K155" s="130"/>
      <c r="L155" s="68"/>
      <c r="M155" s="100"/>
      <c r="N155" s="115"/>
      <c r="O155" s="46"/>
      <c r="P155" s="46"/>
      <c r="AH155" s="4">
        <v>0</v>
      </c>
    </row>
    <row r="156" spans="1:34" s="4" customFormat="1" ht="0.75" hidden="1" customHeight="1">
      <c r="C156" s="4" t="s">
        <v>1157</v>
      </c>
      <c r="D156" s="837"/>
      <c r="E156" s="721"/>
      <c r="F156" s="808"/>
      <c r="G156" s="130"/>
      <c r="H156" s="130"/>
      <c r="I156" s="37"/>
      <c r="J156" s="37"/>
      <c r="K156" s="130"/>
      <c r="L156" s="68"/>
      <c r="M156" s="100"/>
      <c r="N156" s="115"/>
      <c r="O156" s="46"/>
      <c r="P156" s="46"/>
      <c r="AH156" s="4">
        <v>0</v>
      </c>
    </row>
    <row r="157" spans="1:34" s="4" customFormat="1" ht="45" hidden="1" customHeight="1">
      <c r="A157" s="4" t="s">
        <v>178</v>
      </c>
      <c r="B157" s="4" t="s">
        <v>179</v>
      </c>
      <c r="D157" s="837"/>
      <c r="E157" s="721"/>
      <c r="F157" s="808" t="str">
        <f>INDEX(PT_DIFFERENTIATION_VTAR,MATCH(A157,PT_DIFFERENTIATION_VTAR_ID,0))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7" s="808" t="str">
        <f>INDEX(PT_DIFFERENTIATION_NTAR,MATCH(B157,PT_DIFFERENTIATION_NTAR_ID,0))</f>
        <v/>
      </c>
      <c r="H157" s="371"/>
      <c r="I157" s="549"/>
      <c r="J157" s="567"/>
      <c r="K157" s="204"/>
      <c r="L157" s="371" t="s">
        <v>309</v>
      </c>
      <c r="M157" s="100"/>
      <c r="N157" s="115"/>
      <c r="O157" s="46"/>
      <c r="P157" s="46"/>
      <c r="AH157" s="4">
        <v>0</v>
      </c>
    </row>
    <row r="158" spans="1:34" s="4" customFormat="1" ht="18.75" hidden="1" customHeight="1">
      <c r="C158" s="4" t="s">
        <v>1150</v>
      </c>
      <c r="D158" s="837"/>
      <c r="E158" s="721"/>
      <c r="F158" s="808"/>
      <c r="G158" s="808"/>
      <c r="H158" s="130"/>
      <c r="I158" s="37" t="s">
        <v>1149</v>
      </c>
      <c r="J158" s="37"/>
      <c r="K158" s="130"/>
      <c r="L158" s="68"/>
      <c r="M158" s="100"/>
      <c r="N158" s="115"/>
      <c r="O158" s="46"/>
      <c r="P158" s="46"/>
      <c r="AH158" s="4">
        <v>0</v>
      </c>
    </row>
    <row r="159" spans="1:34" s="4" customFormat="1" ht="0.75" hidden="1" customHeight="1">
      <c r="C159" s="4" t="s">
        <v>1157</v>
      </c>
      <c r="D159" s="837"/>
      <c r="E159" s="721"/>
      <c r="F159" s="808"/>
      <c r="G159" s="130"/>
      <c r="H159" s="130"/>
      <c r="I159" s="37"/>
      <c r="J159" s="37"/>
      <c r="K159" s="130"/>
      <c r="L159" s="68"/>
      <c r="M159" s="100"/>
      <c r="N159" s="115"/>
      <c r="O159" s="46"/>
      <c r="P159" s="46"/>
      <c r="AH159" s="4">
        <v>0</v>
      </c>
    </row>
    <row r="160" spans="1:34" s="4" customFormat="1" ht="18.75" hidden="1" customHeight="1">
      <c r="A160" s="4" t="s">
        <v>184</v>
      </c>
      <c r="B160" s="4" t="s">
        <v>185</v>
      </c>
      <c r="D160" s="837"/>
      <c r="E160" s="721"/>
      <c r="F160" s="808" t="str">
        <f>INDEX(PT_DIFFERENTIATION_VTAR,MATCH(A160,PT_DIFFERENTIATION_VTAR_ID,0))</f>
        <v>Тарифы на услуги по передаче тепловой энергии</v>
      </c>
      <c r="G160" s="808" t="str">
        <f>INDEX(PT_DIFFERENTIATION_NTAR,MATCH(B160,PT_DIFFERENTIATION_NTAR_ID,0))</f>
        <v/>
      </c>
      <c r="H160" s="371"/>
      <c r="I160" s="549"/>
      <c r="J160" s="567"/>
      <c r="K160" s="204"/>
      <c r="L160" s="371" t="s">
        <v>309</v>
      </c>
      <c r="M160" s="100"/>
      <c r="N160" s="115"/>
      <c r="O160" s="46"/>
      <c r="P160" s="46"/>
      <c r="AH160" s="4">
        <v>0</v>
      </c>
    </row>
    <row r="161" spans="1:34" s="4" customFormat="1" ht="18.75" hidden="1" customHeight="1">
      <c r="C161" s="4" t="s">
        <v>1150</v>
      </c>
      <c r="D161" s="837"/>
      <c r="E161" s="721"/>
      <c r="F161" s="808"/>
      <c r="G161" s="808"/>
      <c r="H161" s="130"/>
      <c r="I161" s="37" t="s">
        <v>1149</v>
      </c>
      <c r="J161" s="37"/>
      <c r="K161" s="130"/>
      <c r="L161" s="68"/>
      <c r="M161" s="100"/>
      <c r="N161" s="115"/>
      <c r="O161" s="46"/>
      <c r="P161" s="46"/>
      <c r="AH161" s="4">
        <v>0</v>
      </c>
    </row>
    <row r="162" spans="1:34" s="4" customFormat="1" ht="0.75" hidden="1" customHeight="1">
      <c r="C162" s="4" t="s">
        <v>1157</v>
      </c>
      <c r="D162" s="837"/>
      <c r="E162" s="721"/>
      <c r="F162" s="808"/>
      <c r="G162" s="130"/>
      <c r="H162" s="130"/>
      <c r="I162" s="37"/>
      <c r="J162" s="37"/>
      <c r="K162" s="130"/>
      <c r="L162" s="68"/>
      <c r="M162" s="100"/>
      <c r="N162" s="115"/>
      <c r="O162" s="46"/>
      <c r="P162" s="46"/>
      <c r="AH162" s="4">
        <v>0</v>
      </c>
    </row>
    <row r="163" spans="1:34" s="4" customFormat="1" ht="18.75" hidden="1" customHeight="1">
      <c r="A163" s="4" t="s">
        <v>190</v>
      </c>
      <c r="B163" s="4" t="s">
        <v>191</v>
      </c>
      <c r="D163" s="837"/>
      <c r="E163" s="721"/>
      <c r="F163" s="808" t="str">
        <f>INDEX(PT_DIFFERENTIATION_VTAR,MATCH(A163,PT_DIFFERENTIATION_VTAR_ID,0))</f>
        <v>Тарифы на услуги по передаче теплоносителя</v>
      </c>
      <c r="G163" s="808" t="str">
        <f>INDEX(PT_DIFFERENTIATION_NTAR,MATCH(B163,PT_DIFFERENTIATION_NTAR_ID,0))</f>
        <v/>
      </c>
      <c r="H163" s="371"/>
      <c r="I163" s="549"/>
      <c r="J163" s="567"/>
      <c r="K163" s="204"/>
      <c r="L163" s="371" t="s">
        <v>309</v>
      </c>
      <c r="M163" s="100"/>
      <c r="N163" s="115"/>
      <c r="O163" s="46"/>
      <c r="P163" s="46"/>
      <c r="AH163" s="4">
        <v>0</v>
      </c>
    </row>
    <row r="164" spans="1:34" s="4" customFormat="1" ht="18.75" hidden="1" customHeight="1">
      <c r="C164" s="4" t="s">
        <v>1150</v>
      </c>
      <c r="D164" s="837"/>
      <c r="E164" s="721"/>
      <c r="F164" s="808"/>
      <c r="G164" s="808"/>
      <c r="H164" s="130"/>
      <c r="I164" s="37" t="s">
        <v>1149</v>
      </c>
      <c r="J164" s="37"/>
      <c r="K164" s="130"/>
      <c r="L164" s="68"/>
      <c r="M164" s="100"/>
      <c r="N164" s="115"/>
      <c r="O164" s="46"/>
      <c r="P164" s="46"/>
      <c r="AH164" s="4">
        <v>0</v>
      </c>
    </row>
    <row r="165" spans="1:34" s="4" customFormat="1" ht="0.75" hidden="1" customHeight="1">
      <c r="C165" s="4" t="s">
        <v>1157</v>
      </c>
      <c r="D165" s="837"/>
      <c r="E165" s="721"/>
      <c r="F165" s="808"/>
      <c r="G165" s="130"/>
      <c r="H165" s="130"/>
      <c r="I165" s="37"/>
      <c r="J165" s="37"/>
      <c r="K165" s="130"/>
      <c r="L165" s="68"/>
      <c r="M165" s="100"/>
      <c r="N165" s="115"/>
      <c r="O165" s="46"/>
      <c r="P165" s="46"/>
      <c r="AH165" s="4">
        <v>0</v>
      </c>
    </row>
    <row r="166" spans="1:34" s="4" customFormat="1" ht="18.75" hidden="1" customHeight="1">
      <c r="A166" s="4" t="s">
        <v>196</v>
      </c>
      <c r="B166" s="4" t="s">
        <v>197</v>
      </c>
      <c r="D166" s="837"/>
      <c r="E166" s="721"/>
      <c r="F166" s="808" t="str">
        <f>INDEX(PT_DIFFERENTIATION_VTAR,MATCH(A166,PT_DIFFERENTIATION_VTAR_ID,0))</f>
        <v>Плата за услуги по поддержанию резервной тепловой мощности при отсутствии потребления тепловой энергии</v>
      </c>
      <c r="G166" s="808" t="str">
        <f>INDEX(PT_DIFFERENTIATION_NTAR,MATCH(B166,PT_DIFFERENTIATION_NTAR_ID,0))</f>
        <v/>
      </c>
      <c r="H166" s="371"/>
      <c r="I166" s="549"/>
      <c r="J166" s="567"/>
      <c r="K166" s="204"/>
      <c r="L166" s="371" t="s">
        <v>309</v>
      </c>
      <c r="M166" s="100"/>
      <c r="N166" s="115"/>
      <c r="O166" s="46"/>
      <c r="P166" s="46"/>
      <c r="AH166" s="4">
        <v>0</v>
      </c>
    </row>
    <row r="167" spans="1:34" s="4" customFormat="1" ht="18.75" hidden="1" customHeight="1">
      <c r="C167" s="4" t="s">
        <v>1150</v>
      </c>
      <c r="D167" s="837"/>
      <c r="E167" s="721"/>
      <c r="F167" s="808"/>
      <c r="G167" s="808"/>
      <c r="H167" s="130"/>
      <c r="I167" s="37" t="s">
        <v>1149</v>
      </c>
      <c r="J167" s="37"/>
      <c r="K167" s="130"/>
      <c r="L167" s="68"/>
      <c r="M167" s="100"/>
      <c r="N167" s="115"/>
      <c r="O167" s="46"/>
      <c r="P167" s="46"/>
      <c r="AH167" s="4">
        <v>0</v>
      </c>
    </row>
    <row r="168" spans="1:34" s="4" customFormat="1" ht="0.75" hidden="1" customHeight="1">
      <c r="C168" s="4" t="s">
        <v>1157</v>
      </c>
      <c r="D168" s="837"/>
      <c r="E168" s="721"/>
      <c r="F168" s="808"/>
      <c r="G168" s="130"/>
      <c r="H168" s="130"/>
      <c r="I168" s="37"/>
      <c r="J168" s="37"/>
      <c r="K168" s="130"/>
      <c r="L168" s="68"/>
      <c r="M168" s="100"/>
      <c r="N168" s="115"/>
      <c r="O168" s="46"/>
      <c r="P168" s="46"/>
      <c r="AH168" s="4">
        <v>0</v>
      </c>
    </row>
    <row r="169" spans="1:34" s="4" customFormat="1" ht="18.75" hidden="1" customHeight="1">
      <c r="A169" s="4" t="s">
        <v>202</v>
      </c>
      <c r="B169" s="4" t="s">
        <v>203</v>
      </c>
      <c r="D169" s="837"/>
      <c r="E169" s="721"/>
      <c r="F169" s="808" t="str">
        <f>INDEX(PT_DIFFERENTIATION_VTAR,MATCH(A169,PT_DIFFERENTIATION_VTAR_ID,0))</f>
        <v>Плата за подключение (технологическое присоединение) к системе теплоснабжения</v>
      </c>
      <c r="G169" s="808" t="str">
        <f>INDEX(PT_DIFFERENTIATION_NTAR,MATCH(B169,PT_DIFFERENTIATION_NTAR_ID,0))</f>
        <v/>
      </c>
      <c r="H169" s="371"/>
      <c r="I169" s="549"/>
      <c r="J169" s="567"/>
      <c r="K169" s="204"/>
      <c r="L169" s="371" t="s">
        <v>309</v>
      </c>
      <c r="M169" s="100"/>
      <c r="N169" s="115"/>
      <c r="O169" s="46"/>
      <c r="P169" s="46"/>
      <c r="AH169" s="4">
        <v>0</v>
      </c>
    </row>
    <row r="170" spans="1:34" s="4" customFormat="1" ht="18.75" hidden="1" customHeight="1">
      <c r="C170" s="4" t="s">
        <v>1150</v>
      </c>
      <c r="D170" s="837"/>
      <c r="E170" s="721"/>
      <c r="F170" s="808"/>
      <c r="G170" s="808"/>
      <c r="H170" s="130"/>
      <c r="I170" s="37" t="s">
        <v>1149</v>
      </c>
      <c r="J170" s="37"/>
      <c r="K170" s="130"/>
      <c r="L170" s="68"/>
      <c r="M170" s="100"/>
      <c r="N170" s="115"/>
      <c r="O170" s="46"/>
      <c r="P170" s="46"/>
      <c r="AH170" s="4">
        <v>0</v>
      </c>
    </row>
    <row r="171" spans="1:34" s="4" customFormat="1" ht="0.75" hidden="1" customHeight="1">
      <c r="C171" s="4" t="s">
        <v>1157</v>
      </c>
      <c r="D171" s="837"/>
      <c r="E171" s="721"/>
      <c r="F171" s="808"/>
      <c r="G171" s="130"/>
      <c r="H171" s="130"/>
      <c r="I171" s="37"/>
      <c r="J171" s="37"/>
      <c r="K171" s="130"/>
      <c r="L171" s="68"/>
      <c r="M171" s="100"/>
      <c r="N171" s="115"/>
      <c r="O171" s="46"/>
      <c r="P171" s="46"/>
      <c r="AH171" s="4">
        <v>0</v>
      </c>
    </row>
    <row r="172" spans="1:34" s="4" customFormat="1" ht="18.75" hidden="1" customHeight="1">
      <c r="A172" s="4" t="s">
        <v>208</v>
      </c>
      <c r="B172" s="4" t="s">
        <v>209</v>
      </c>
      <c r="D172" s="837"/>
      <c r="E172" s="721"/>
      <c r="F172" s="808" t="str">
        <f>INDEX(PT_DIFFERENTIATION_VTAR,MATCH(A172,PT_DIFFERENTIATION_VTAR_ID,0))</f>
        <v>Плата за подключение (технологическое присоединение) к системе теплоснабжения (индивидуальная)</v>
      </c>
      <c r="G172" s="808" t="str">
        <f>INDEX(PT_DIFFERENTIATION_NTAR,MATCH(B172,PT_DIFFERENTIATION_NTAR_ID,0))</f>
        <v/>
      </c>
      <c r="H172" s="371"/>
      <c r="I172" s="549"/>
      <c r="J172" s="567"/>
      <c r="K172" s="204"/>
      <c r="L172" s="371" t="s">
        <v>309</v>
      </c>
      <c r="M172" s="100"/>
      <c r="N172" s="115"/>
      <c r="O172" s="46"/>
      <c r="P172" s="46"/>
      <c r="AH172" s="4">
        <v>0</v>
      </c>
    </row>
    <row r="173" spans="1:34" s="4" customFormat="1" ht="18.75" hidden="1" customHeight="1">
      <c r="C173" s="4" t="s">
        <v>1150</v>
      </c>
      <c r="D173" s="837"/>
      <c r="E173" s="721"/>
      <c r="F173" s="808"/>
      <c r="G173" s="808"/>
      <c r="H173" s="130"/>
      <c r="I173" s="37" t="s">
        <v>1149</v>
      </c>
      <c r="J173" s="37"/>
      <c r="K173" s="130"/>
      <c r="L173" s="68"/>
      <c r="M173" s="100"/>
      <c r="N173" s="115"/>
      <c r="O173" s="46"/>
      <c r="P173" s="46"/>
      <c r="AH173" s="4">
        <v>0</v>
      </c>
    </row>
    <row r="174" spans="1:34" s="4" customFormat="1" ht="0.75" hidden="1" customHeight="1">
      <c r="C174" s="4" t="s">
        <v>1157</v>
      </c>
      <c r="D174" s="837"/>
      <c r="E174" s="721"/>
      <c r="F174" s="808"/>
      <c r="G174" s="130"/>
      <c r="H174" s="130"/>
      <c r="I174" s="37"/>
      <c r="J174" s="37"/>
      <c r="K174" s="130"/>
      <c r="L174" s="68"/>
      <c r="M174" s="100"/>
      <c r="N174" s="115"/>
      <c r="O174" s="46"/>
      <c r="P174" s="46"/>
      <c r="AH174" s="4">
        <v>0</v>
      </c>
    </row>
    <row r="175" spans="1:34" s="4" customFormat="1" ht="18.75" hidden="1" customHeight="1">
      <c r="A175" s="4" t="s">
        <v>228</v>
      </c>
      <c r="B175" s="4" t="s">
        <v>229</v>
      </c>
      <c r="D175" s="837"/>
      <c r="E175" s="721"/>
      <c r="F175" s="808" t="str">
        <f>INDEX(PT_DIFFERENTIATION_VTAR,MATCH(A175,PT_DIFFERENTIATION_VTAR_ID,0))</f>
        <v>Тариф на питьевую воду (питьевое водоснабжение)</v>
      </c>
      <c r="G175" s="808" t="str">
        <f>INDEX(PT_DIFFERENTIATION_NTAR,MATCH(B175,PT_DIFFERENTIATION_NTAR_ID,0))</f>
        <v/>
      </c>
      <c r="H175" s="371"/>
      <c r="I175" s="549"/>
      <c r="J175" s="567"/>
      <c r="K175" s="204"/>
      <c r="L175" s="371" t="s">
        <v>309</v>
      </c>
      <c r="M175" s="100"/>
      <c r="N175" s="115"/>
      <c r="O175" s="46"/>
      <c r="P175" s="46"/>
      <c r="AH175" s="4">
        <v>0</v>
      </c>
    </row>
    <row r="176" spans="1:34" s="4" customFormat="1" ht="18.75" hidden="1" customHeight="1">
      <c r="C176" s="4" t="s">
        <v>1150</v>
      </c>
      <c r="D176" s="837"/>
      <c r="E176" s="721"/>
      <c r="F176" s="808"/>
      <c r="G176" s="808"/>
      <c r="H176" s="130"/>
      <c r="I176" s="37" t="s">
        <v>1149</v>
      </c>
      <c r="J176" s="37"/>
      <c r="K176" s="130"/>
      <c r="L176" s="68"/>
      <c r="M176" s="100"/>
      <c r="N176" s="115"/>
      <c r="O176" s="46"/>
      <c r="P176" s="46"/>
      <c r="AH176" s="4">
        <v>0</v>
      </c>
    </row>
    <row r="177" spans="1:34" s="4" customFormat="1" ht="0.75" hidden="1" customHeight="1">
      <c r="C177" s="4" t="s">
        <v>1157</v>
      </c>
      <c r="D177" s="837"/>
      <c r="E177" s="721"/>
      <c r="F177" s="808"/>
      <c r="G177" s="130"/>
      <c r="H177" s="130"/>
      <c r="I177" s="37"/>
      <c r="J177" s="37"/>
      <c r="K177" s="130"/>
      <c r="L177" s="68"/>
      <c r="M177" s="100"/>
      <c r="N177" s="115"/>
      <c r="O177" s="46"/>
      <c r="P177" s="46"/>
      <c r="AH177" s="4">
        <v>0</v>
      </c>
    </row>
    <row r="178" spans="1:34" s="4" customFormat="1" ht="18.75" hidden="1" customHeight="1">
      <c r="A178" s="4" t="s">
        <v>233</v>
      </c>
      <c r="B178" s="4" t="s">
        <v>234</v>
      </c>
      <c r="D178" s="837"/>
      <c r="E178" s="721"/>
      <c r="F178" s="808" t="str">
        <f>INDEX(PT_DIFFERENTIATION_VTAR,MATCH(A178,PT_DIFFERENTIATION_VTAR_ID,0))</f>
        <v>Тариф на техническую воду</v>
      </c>
      <c r="G178" s="808" t="str">
        <f>INDEX(PT_DIFFERENTIATION_NTAR,MATCH(B178,PT_DIFFERENTIATION_NTAR_ID,0))</f>
        <v/>
      </c>
      <c r="H178" s="371"/>
      <c r="I178" s="549"/>
      <c r="J178" s="567"/>
      <c r="K178" s="204"/>
      <c r="L178" s="371" t="s">
        <v>309</v>
      </c>
      <c r="M178" s="100"/>
      <c r="N178" s="115"/>
      <c r="O178" s="46"/>
      <c r="P178" s="46"/>
      <c r="AH178" s="4">
        <v>0</v>
      </c>
    </row>
    <row r="179" spans="1:34" s="4" customFormat="1" ht="18.75" hidden="1" customHeight="1">
      <c r="C179" s="4" t="s">
        <v>1150</v>
      </c>
      <c r="D179" s="837"/>
      <c r="E179" s="721"/>
      <c r="F179" s="808"/>
      <c r="G179" s="808"/>
      <c r="H179" s="130"/>
      <c r="I179" s="37" t="s">
        <v>1149</v>
      </c>
      <c r="J179" s="37"/>
      <c r="K179" s="130"/>
      <c r="L179" s="68"/>
      <c r="M179" s="100"/>
      <c r="N179" s="115"/>
      <c r="O179" s="46"/>
      <c r="P179" s="46"/>
      <c r="AH179" s="4">
        <v>0</v>
      </c>
    </row>
    <row r="180" spans="1:34" s="4" customFormat="1" ht="0.75" hidden="1" customHeight="1">
      <c r="C180" s="4" t="s">
        <v>1157</v>
      </c>
      <c r="D180" s="837"/>
      <c r="E180" s="721"/>
      <c r="F180" s="808"/>
      <c r="G180" s="130"/>
      <c r="H180" s="130"/>
      <c r="I180" s="37"/>
      <c r="J180" s="37"/>
      <c r="K180" s="130"/>
      <c r="L180" s="68"/>
      <c r="M180" s="100"/>
      <c r="N180" s="115"/>
      <c r="O180" s="46"/>
      <c r="P180" s="46"/>
      <c r="AH180" s="4">
        <v>0</v>
      </c>
    </row>
    <row r="181" spans="1:34" s="4" customFormat="1" ht="18.75" hidden="1" customHeight="1">
      <c r="A181" s="4" t="s">
        <v>238</v>
      </c>
      <c r="B181" s="4" t="s">
        <v>239</v>
      </c>
      <c r="D181" s="837"/>
      <c r="E181" s="721"/>
      <c r="F181" s="808" t="str">
        <f>INDEX(PT_DIFFERENTIATION_VTAR,MATCH(A181,PT_DIFFERENTIATION_VTAR_ID,0))</f>
        <v>Тариф на транспортировку воды</v>
      </c>
      <c r="G181" s="808" t="str">
        <f>INDEX(PT_DIFFERENTIATION_NTAR,MATCH(B181,PT_DIFFERENTIATION_NTAR_ID,0))</f>
        <v/>
      </c>
      <c r="H181" s="371"/>
      <c r="I181" s="549"/>
      <c r="J181" s="567"/>
      <c r="K181" s="204"/>
      <c r="L181" s="371" t="s">
        <v>309</v>
      </c>
      <c r="M181" s="100"/>
      <c r="N181" s="115"/>
      <c r="O181" s="46"/>
      <c r="P181" s="46"/>
      <c r="AH181" s="4">
        <v>0</v>
      </c>
    </row>
    <row r="182" spans="1:34" s="4" customFormat="1" ht="18.75" hidden="1" customHeight="1">
      <c r="C182" s="4" t="s">
        <v>1150</v>
      </c>
      <c r="D182" s="837"/>
      <c r="E182" s="721"/>
      <c r="F182" s="808"/>
      <c r="G182" s="808"/>
      <c r="H182" s="130"/>
      <c r="I182" s="37" t="s">
        <v>1149</v>
      </c>
      <c r="J182" s="37"/>
      <c r="K182" s="130"/>
      <c r="L182" s="68"/>
      <c r="M182" s="100"/>
      <c r="N182" s="115"/>
      <c r="O182" s="46"/>
      <c r="P182" s="46"/>
      <c r="AH182" s="4">
        <v>0</v>
      </c>
    </row>
    <row r="183" spans="1:34" s="4" customFormat="1" ht="0.75" hidden="1" customHeight="1">
      <c r="C183" s="4" t="s">
        <v>1157</v>
      </c>
      <c r="D183" s="837"/>
      <c r="E183" s="721"/>
      <c r="F183" s="808"/>
      <c r="G183" s="130"/>
      <c r="H183" s="130"/>
      <c r="I183" s="37"/>
      <c r="J183" s="37"/>
      <c r="K183" s="130"/>
      <c r="L183" s="68"/>
      <c r="M183" s="100"/>
      <c r="N183" s="115"/>
      <c r="O183" s="46"/>
      <c r="P183" s="46"/>
      <c r="AH183" s="4">
        <v>0</v>
      </c>
    </row>
    <row r="184" spans="1:34" s="4" customFormat="1" ht="18.75" hidden="1" customHeight="1">
      <c r="A184" s="4" t="s">
        <v>243</v>
      </c>
      <c r="B184" s="4" t="s">
        <v>244</v>
      </c>
      <c r="D184" s="837"/>
      <c r="E184" s="721"/>
      <c r="F184" s="808" t="str">
        <f>INDEX(PT_DIFFERENTIATION_VTAR,MATCH(A184,PT_DIFFERENTIATION_VTAR_ID,0))</f>
        <v>Тариф на подвоз воды</v>
      </c>
      <c r="G184" s="808" t="str">
        <f>INDEX(PT_DIFFERENTIATION_NTAR,MATCH(B184,PT_DIFFERENTIATION_NTAR_ID,0))</f>
        <v/>
      </c>
      <c r="H184" s="371"/>
      <c r="I184" s="549"/>
      <c r="J184" s="567"/>
      <c r="K184" s="204"/>
      <c r="L184" s="371" t="s">
        <v>309</v>
      </c>
      <c r="M184" s="100"/>
      <c r="N184" s="115"/>
      <c r="O184" s="46"/>
      <c r="P184" s="46"/>
      <c r="AH184" s="4">
        <v>0</v>
      </c>
    </row>
    <row r="185" spans="1:34" s="4" customFormat="1" ht="18.75" hidden="1" customHeight="1">
      <c r="C185" s="4" t="s">
        <v>1150</v>
      </c>
      <c r="D185" s="837"/>
      <c r="E185" s="721"/>
      <c r="F185" s="808"/>
      <c r="G185" s="808"/>
      <c r="H185" s="130"/>
      <c r="I185" s="37" t="s">
        <v>1149</v>
      </c>
      <c r="J185" s="37"/>
      <c r="K185" s="130"/>
      <c r="L185" s="68"/>
      <c r="M185" s="100"/>
      <c r="N185" s="115"/>
      <c r="O185" s="46"/>
      <c r="P185" s="46"/>
      <c r="AH185" s="4">
        <v>0</v>
      </c>
    </row>
    <row r="186" spans="1:34" s="4" customFormat="1" ht="0.75" hidden="1" customHeight="1">
      <c r="C186" s="4" t="s">
        <v>1157</v>
      </c>
      <c r="D186" s="837"/>
      <c r="E186" s="721"/>
      <c r="F186" s="808"/>
      <c r="G186" s="130"/>
      <c r="H186" s="130"/>
      <c r="I186" s="37"/>
      <c r="J186" s="37"/>
      <c r="K186" s="130"/>
      <c r="L186" s="68"/>
      <c r="M186" s="100"/>
      <c r="N186" s="115"/>
      <c r="O186" s="46"/>
      <c r="P186" s="46"/>
      <c r="AH186" s="4">
        <v>0</v>
      </c>
    </row>
    <row r="187" spans="1:34" s="4" customFormat="1" ht="18.75" hidden="1" customHeight="1">
      <c r="A187" s="4" t="s">
        <v>248</v>
      </c>
      <c r="B187" s="4" t="s">
        <v>249</v>
      </c>
      <c r="D187" s="837"/>
      <c r="E187" s="721"/>
      <c r="F187" s="808" t="str">
        <f>INDEX(PT_DIFFERENTIATION_VTAR,MATCH(A187,PT_DIFFERENTIATION_VTAR_ID,0))</f>
        <v>Тариф на подключение (технологическое присоединение) к централизованной системе холодного водоснабжения</v>
      </c>
      <c r="G187" s="808" t="str">
        <f>INDEX(PT_DIFFERENTIATION_NTAR,MATCH(B187,PT_DIFFERENTIATION_NTAR_ID,0))</f>
        <v/>
      </c>
      <c r="H187" s="371"/>
      <c r="I187" s="549"/>
      <c r="J187" s="567"/>
      <c r="K187" s="204"/>
      <c r="L187" s="371" t="s">
        <v>309</v>
      </c>
      <c r="M187" s="100"/>
      <c r="N187" s="115"/>
      <c r="O187" s="46"/>
      <c r="P187" s="46"/>
      <c r="AH187" s="4">
        <v>0</v>
      </c>
    </row>
    <row r="188" spans="1:34" s="4" customFormat="1" ht="18.75" hidden="1" customHeight="1">
      <c r="C188" s="4" t="s">
        <v>1150</v>
      </c>
      <c r="D188" s="837"/>
      <c r="E188" s="721"/>
      <c r="F188" s="808"/>
      <c r="G188" s="808"/>
      <c r="H188" s="130"/>
      <c r="I188" s="37" t="s">
        <v>1149</v>
      </c>
      <c r="J188" s="37"/>
      <c r="K188" s="130"/>
      <c r="L188" s="68"/>
      <c r="M188" s="100"/>
      <c r="N188" s="115"/>
      <c r="O188" s="46"/>
      <c r="P188" s="46"/>
      <c r="AH188" s="4">
        <v>0</v>
      </c>
    </row>
    <row r="189" spans="1:34" s="4" customFormat="1" ht="0.75" hidden="1" customHeight="1">
      <c r="C189" s="4" t="s">
        <v>1157</v>
      </c>
      <c r="D189" s="837"/>
      <c r="E189" s="721"/>
      <c r="F189" s="808"/>
      <c r="G189" s="130"/>
      <c r="H189" s="130"/>
      <c r="I189" s="37"/>
      <c r="J189" s="37"/>
      <c r="K189" s="130"/>
      <c r="L189" s="68"/>
      <c r="M189" s="100"/>
      <c r="N189" s="115"/>
      <c r="O189" s="46"/>
      <c r="P189" s="46"/>
      <c r="AH189" s="4">
        <v>0</v>
      </c>
    </row>
    <row r="190" spans="1:34" s="4" customFormat="1" ht="18.75" hidden="1" customHeight="1">
      <c r="A190" s="4" t="s">
        <v>253</v>
      </c>
      <c r="B190" s="4" t="s">
        <v>254</v>
      </c>
      <c r="D190" s="837"/>
      <c r="E190" s="721"/>
      <c r="F190" s="808" t="str">
        <f>INDEX(PT_DIFFERENTIATION_VTAR,MATCH(A190,PT_DIFFERENTIATION_VTAR_ID,0))</f>
        <v>Тариф на горячую воду (горячее водоснабжение)</v>
      </c>
      <c r="G190" s="808" t="str">
        <f>INDEX(PT_DIFFERENTIATION_NTAR,MATCH(B190,PT_DIFFERENTIATION_NTAR_ID,0))</f>
        <v/>
      </c>
      <c r="H190" s="371"/>
      <c r="I190" s="549"/>
      <c r="J190" s="567"/>
      <c r="K190" s="204"/>
      <c r="L190" s="371" t="s">
        <v>309</v>
      </c>
      <c r="M190" s="100"/>
      <c r="N190" s="115"/>
      <c r="O190" s="46"/>
      <c r="P190" s="46"/>
      <c r="AH190" s="4">
        <v>0</v>
      </c>
    </row>
    <row r="191" spans="1:34" s="4" customFormat="1" ht="18.75" hidden="1" customHeight="1">
      <c r="C191" s="4" t="s">
        <v>1150</v>
      </c>
      <c r="D191" s="837"/>
      <c r="E191" s="721"/>
      <c r="F191" s="808"/>
      <c r="G191" s="808"/>
      <c r="H191" s="130"/>
      <c r="I191" s="37" t="s">
        <v>1149</v>
      </c>
      <c r="J191" s="37"/>
      <c r="K191" s="130"/>
      <c r="L191" s="68"/>
      <c r="M191" s="100"/>
      <c r="N191" s="115"/>
      <c r="O191" s="46"/>
      <c r="P191" s="46"/>
      <c r="AH191" s="4">
        <v>0</v>
      </c>
    </row>
    <row r="192" spans="1:34" s="4" customFormat="1" ht="0.75" hidden="1" customHeight="1">
      <c r="C192" s="4" t="s">
        <v>1157</v>
      </c>
      <c r="D192" s="837"/>
      <c r="E192" s="721"/>
      <c r="F192" s="808"/>
      <c r="G192" s="130"/>
      <c r="H192" s="130"/>
      <c r="I192" s="37"/>
      <c r="J192" s="37"/>
      <c r="K192" s="130"/>
      <c r="L192" s="68"/>
      <c r="M192" s="100"/>
      <c r="N192" s="115"/>
      <c r="O192" s="46"/>
      <c r="P192" s="46"/>
      <c r="AH192" s="4">
        <v>0</v>
      </c>
    </row>
    <row r="193" spans="1:34" s="4" customFormat="1" ht="18.75" hidden="1" customHeight="1">
      <c r="A193" s="4" t="s">
        <v>258</v>
      </c>
      <c r="B193" s="4" t="s">
        <v>259</v>
      </c>
      <c r="D193" s="837"/>
      <c r="E193" s="721"/>
      <c r="F193" s="808" t="str">
        <f>INDEX(PT_DIFFERENTIATION_VTAR,MATCH(A193,PT_DIFFERENTIATION_VTAR_ID,0))</f>
        <v>Тариф на транспортировку горячей воды</v>
      </c>
      <c r="G193" s="808" t="str">
        <f>INDEX(PT_DIFFERENTIATION_NTAR,MATCH(B193,PT_DIFFERENTIATION_NTAR_ID,0))</f>
        <v/>
      </c>
      <c r="H193" s="371"/>
      <c r="I193" s="549"/>
      <c r="J193" s="567"/>
      <c r="K193" s="204"/>
      <c r="L193" s="371" t="s">
        <v>309</v>
      </c>
      <c r="M193" s="100"/>
      <c r="N193" s="115"/>
      <c r="O193" s="46"/>
      <c r="P193" s="46"/>
      <c r="AH193" s="4">
        <v>0</v>
      </c>
    </row>
    <row r="194" spans="1:34" s="4" customFormat="1" ht="18.75" hidden="1" customHeight="1">
      <c r="C194" s="4" t="s">
        <v>1150</v>
      </c>
      <c r="D194" s="837"/>
      <c r="E194" s="721"/>
      <c r="F194" s="808"/>
      <c r="G194" s="808"/>
      <c r="H194" s="130"/>
      <c r="I194" s="37" t="s">
        <v>1149</v>
      </c>
      <c r="J194" s="37"/>
      <c r="K194" s="130"/>
      <c r="L194" s="68"/>
      <c r="M194" s="100"/>
      <c r="N194" s="115"/>
      <c r="O194" s="46"/>
      <c r="P194" s="46"/>
      <c r="AH194" s="4">
        <v>0</v>
      </c>
    </row>
    <row r="195" spans="1:34" s="4" customFormat="1" ht="0.75" hidden="1" customHeight="1">
      <c r="C195" s="4" t="s">
        <v>1157</v>
      </c>
      <c r="D195" s="837"/>
      <c r="E195" s="721"/>
      <c r="F195" s="808"/>
      <c r="G195" s="130"/>
      <c r="H195" s="130"/>
      <c r="I195" s="37"/>
      <c r="J195" s="37"/>
      <c r="K195" s="130"/>
      <c r="L195" s="68"/>
      <c r="M195" s="100"/>
      <c r="N195" s="115"/>
      <c r="O195" s="46"/>
      <c r="P195" s="46"/>
      <c r="AH195" s="4">
        <v>0</v>
      </c>
    </row>
    <row r="196" spans="1:34" s="4" customFormat="1" ht="18.75" hidden="1" customHeight="1">
      <c r="A196" s="4" t="s">
        <v>263</v>
      </c>
      <c r="B196" s="4" t="s">
        <v>264</v>
      </c>
      <c r="D196" s="837"/>
      <c r="E196" s="721"/>
      <c r="F196" s="808" t="str">
        <f>INDEX(PT_DIFFERENTIATION_VTAR,MATCH(A196,PT_DIFFERENTIATION_VTAR_ID,0))</f>
        <v>Тариф на подключение (технологическое присоединение) к централизованной системе горячего водоснабжения</v>
      </c>
      <c r="G196" s="808" t="str">
        <f>INDEX(PT_DIFFERENTIATION_NTAR,MATCH(B196,PT_DIFFERENTIATION_NTAR_ID,0))</f>
        <v/>
      </c>
      <c r="H196" s="371"/>
      <c r="I196" s="549"/>
      <c r="J196" s="567"/>
      <c r="K196" s="204"/>
      <c r="L196" s="371" t="s">
        <v>309</v>
      </c>
      <c r="M196" s="100"/>
      <c r="N196" s="115"/>
      <c r="O196" s="46"/>
      <c r="P196" s="46"/>
      <c r="AH196" s="4">
        <v>0</v>
      </c>
    </row>
    <row r="197" spans="1:34" s="4" customFormat="1" ht="18.75" hidden="1" customHeight="1">
      <c r="C197" s="4" t="s">
        <v>1150</v>
      </c>
      <c r="D197" s="837"/>
      <c r="E197" s="721"/>
      <c r="F197" s="808"/>
      <c r="G197" s="808"/>
      <c r="H197" s="130"/>
      <c r="I197" s="37" t="s">
        <v>1149</v>
      </c>
      <c r="J197" s="37"/>
      <c r="K197" s="130"/>
      <c r="L197" s="68"/>
      <c r="M197" s="100"/>
      <c r="N197" s="115"/>
      <c r="O197" s="46"/>
      <c r="P197" s="46"/>
      <c r="AH197" s="4">
        <v>0</v>
      </c>
    </row>
    <row r="198" spans="1:34" s="4" customFormat="1" ht="0.75" hidden="1" customHeight="1">
      <c r="C198" s="4" t="s">
        <v>1157</v>
      </c>
      <c r="D198" s="837"/>
      <c r="E198" s="721"/>
      <c r="F198" s="808"/>
      <c r="G198" s="130"/>
      <c r="H198" s="130"/>
      <c r="I198" s="37"/>
      <c r="J198" s="37"/>
      <c r="K198" s="130"/>
      <c r="L198" s="68"/>
      <c r="M198" s="100"/>
      <c r="N198" s="115"/>
      <c r="O198" s="46"/>
      <c r="P198" s="46"/>
      <c r="AH198" s="4">
        <v>0</v>
      </c>
    </row>
    <row r="199" spans="1:34" s="4" customFormat="1" ht="18.75" hidden="1" customHeight="1">
      <c r="A199" s="4" t="s">
        <v>268</v>
      </c>
      <c r="B199" s="4" t="s">
        <v>269</v>
      </c>
      <c r="D199" s="837"/>
      <c r="E199" s="721"/>
      <c r="F199" s="808" t="str">
        <f>INDEX(PT_DIFFERENTIATION_VTAR,MATCH(A199,PT_DIFFERENTIATION_VTAR_ID,0))</f>
        <v>Тариф на водоотведение</v>
      </c>
      <c r="G199" s="808" t="str">
        <f>INDEX(PT_DIFFERENTIATION_NTAR,MATCH(B199,PT_DIFFERENTIATION_NTAR_ID,0))</f>
        <v/>
      </c>
      <c r="H199" s="371"/>
      <c r="I199" s="549"/>
      <c r="J199" s="567"/>
      <c r="K199" s="204"/>
      <c r="L199" s="371" t="s">
        <v>309</v>
      </c>
      <c r="M199" s="100"/>
      <c r="N199" s="115"/>
      <c r="O199" s="46"/>
      <c r="P199" s="46"/>
      <c r="AH199" s="4">
        <v>0</v>
      </c>
    </row>
    <row r="200" spans="1:34" s="4" customFormat="1" ht="18.75" hidden="1" customHeight="1">
      <c r="C200" s="4" t="s">
        <v>1150</v>
      </c>
      <c r="D200" s="837"/>
      <c r="E200" s="721"/>
      <c r="F200" s="808"/>
      <c r="G200" s="808"/>
      <c r="H200" s="130"/>
      <c r="I200" s="37" t="s">
        <v>1149</v>
      </c>
      <c r="J200" s="37"/>
      <c r="K200" s="130"/>
      <c r="L200" s="68"/>
      <c r="M200" s="100"/>
      <c r="N200" s="115"/>
      <c r="O200" s="46"/>
      <c r="P200" s="46"/>
      <c r="AH200" s="4">
        <v>0</v>
      </c>
    </row>
    <row r="201" spans="1:34" s="4" customFormat="1" ht="0.75" hidden="1" customHeight="1">
      <c r="C201" s="4" t="s">
        <v>1157</v>
      </c>
      <c r="D201" s="837"/>
      <c r="E201" s="721"/>
      <c r="F201" s="808"/>
      <c r="G201" s="130"/>
      <c r="H201" s="130"/>
      <c r="I201" s="37"/>
      <c r="J201" s="37"/>
      <c r="K201" s="130"/>
      <c r="L201" s="68"/>
      <c r="M201" s="100"/>
      <c r="N201" s="115"/>
      <c r="O201" s="46"/>
      <c r="P201" s="46"/>
      <c r="AH201" s="4">
        <v>0</v>
      </c>
    </row>
    <row r="202" spans="1:34" s="4" customFormat="1" ht="18.75" hidden="1" customHeight="1">
      <c r="A202" s="4" t="s">
        <v>273</v>
      </c>
      <c r="B202" s="4" t="s">
        <v>274</v>
      </c>
      <c r="D202" s="837"/>
      <c r="E202" s="721"/>
      <c r="F202" s="808" t="str">
        <f>INDEX(PT_DIFFERENTIATION_VTAR,MATCH(A202,PT_DIFFERENTIATION_VTAR_ID,0))</f>
        <v>Тариф на транспортировку сточных вод</v>
      </c>
      <c r="G202" s="808" t="str">
        <f>INDEX(PT_DIFFERENTIATION_NTAR,MATCH(B202,PT_DIFFERENTIATION_NTAR_ID,0))</f>
        <v/>
      </c>
      <c r="H202" s="371"/>
      <c r="I202" s="549"/>
      <c r="J202" s="567"/>
      <c r="K202" s="204"/>
      <c r="L202" s="371" t="s">
        <v>309</v>
      </c>
      <c r="M202" s="100"/>
      <c r="N202" s="115"/>
      <c r="O202" s="46"/>
      <c r="P202" s="46"/>
      <c r="AH202" s="4">
        <v>0</v>
      </c>
    </row>
    <row r="203" spans="1:34" s="4" customFormat="1" ht="18.75" hidden="1" customHeight="1">
      <c r="C203" s="4" t="s">
        <v>1150</v>
      </c>
      <c r="D203" s="837"/>
      <c r="E203" s="721"/>
      <c r="F203" s="808"/>
      <c r="G203" s="808"/>
      <c r="H203" s="130"/>
      <c r="I203" s="37" t="s">
        <v>1149</v>
      </c>
      <c r="J203" s="37"/>
      <c r="K203" s="130"/>
      <c r="L203" s="68"/>
      <c r="M203" s="100"/>
      <c r="N203" s="115"/>
      <c r="O203" s="46"/>
      <c r="P203" s="46"/>
      <c r="AH203" s="4">
        <v>0</v>
      </c>
    </row>
    <row r="204" spans="1:34" s="4" customFormat="1" ht="0.75" hidden="1" customHeight="1">
      <c r="C204" s="4" t="s">
        <v>1157</v>
      </c>
      <c r="D204" s="837"/>
      <c r="E204" s="721"/>
      <c r="F204" s="808"/>
      <c r="G204" s="130"/>
      <c r="H204" s="130"/>
      <c r="I204" s="37"/>
      <c r="J204" s="37"/>
      <c r="K204" s="130"/>
      <c r="L204" s="68"/>
      <c r="M204" s="100"/>
      <c r="N204" s="115"/>
      <c r="O204" s="46"/>
      <c r="P204" s="46"/>
      <c r="AH204" s="4">
        <v>0</v>
      </c>
    </row>
    <row r="205" spans="1:34" s="4" customFormat="1" ht="18.75" hidden="1" customHeight="1">
      <c r="A205" s="4" t="s">
        <v>278</v>
      </c>
      <c r="B205" s="4" t="s">
        <v>279</v>
      </c>
      <c r="D205" s="837"/>
      <c r="E205" s="721"/>
      <c r="F205" s="808" t="str">
        <f>INDEX(PT_DIFFERENTIATION_VTAR,MATCH(A205,PT_DIFFERENTIATION_VTAR_ID,0))</f>
        <v>Тариф на подключение (технологическое присоединение) к централизованной системе водоотведения</v>
      </c>
      <c r="G205" s="808" t="str">
        <f>INDEX(PT_DIFFERENTIATION_NTAR,MATCH(B205,PT_DIFFERENTIATION_NTAR_ID,0))</f>
        <v/>
      </c>
      <c r="H205" s="371"/>
      <c r="I205" s="549"/>
      <c r="J205" s="567"/>
      <c r="K205" s="204"/>
      <c r="L205" s="371" t="s">
        <v>309</v>
      </c>
      <c r="M205" s="100"/>
      <c r="N205" s="115"/>
      <c r="O205" s="46"/>
      <c r="P205" s="46"/>
      <c r="AH205" s="4">
        <v>0</v>
      </c>
    </row>
    <row r="206" spans="1:34" s="4" customFormat="1" ht="18.75" hidden="1" customHeight="1">
      <c r="C206" s="4" t="s">
        <v>1150</v>
      </c>
      <c r="D206" s="837"/>
      <c r="E206" s="721"/>
      <c r="F206" s="808"/>
      <c r="G206" s="808"/>
      <c r="H206" s="130"/>
      <c r="I206" s="37" t="s">
        <v>1149</v>
      </c>
      <c r="J206" s="37"/>
      <c r="K206" s="130"/>
      <c r="L206" s="68"/>
      <c r="M206" s="100"/>
      <c r="N206" s="115"/>
      <c r="O206" s="46"/>
      <c r="P206" s="46"/>
      <c r="AH206" s="4">
        <v>0</v>
      </c>
    </row>
    <row r="207" spans="1:34" s="4" customFormat="1" ht="1.1499999999999999" customHeight="1">
      <c r="C207" s="4" t="s">
        <v>1157</v>
      </c>
      <c r="D207" s="837"/>
      <c r="E207" s="721"/>
      <c r="F207" s="808"/>
      <c r="G207" s="130"/>
      <c r="H207" s="130"/>
      <c r="I207" s="37"/>
      <c r="J207" s="37"/>
      <c r="K207" s="130"/>
      <c r="L207" s="68"/>
      <c r="M207" s="100"/>
      <c r="N207" s="115"/>
      <c r="O207" s="46"/>
      <c r="P207" s="46"/>
      <c r="AH207" s="4">
        <v>1</v>
      </c>
    </row>
    <row r="208" spans="1:34" ht="27.4" customHeight="1">
      <c r="A208" s="4"/>
      <c r="B208" s="4"/>
      <c r="D208" s="19"/>
      <c r="E208" s="44" t="s">
        <v>112</v>
      </c>
      <c r="F208" s="698"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регулируемой организацией (при их наличии), исчисленный в соответствии с Основами ценообразования в сфере теплоснабжения, утвержденными постановлением Правительства Российской Федерации от 22 октября 2012 г. N 1075 "О ценообразовании в сфере теплоснабжения"</v>
      </c>
      <c r="G208" s="698"/>
      <c r="H208" s="698"/>
      <c r="I208" s="698"/>
      <c r="J208" s="698"/>
      <c r="K208" s="698"/>
      <c r="L208" s="698"/>
      <c r="M208" s="29"/>
      <c r="N208" s="115"/>
      <c r="AH208" s="4">
        <v>26</v>
      </c>
    </row>
    <row r="209" spans="1:34" s="4" customFormat="1" ht="60.75" hidden="1" customHeight="1">
      <c r="A209" s="4" t="s">
        <v>160</v>
      </c>
      <c r="B209" s="4" t="s">
        <v>161</v>
      </c>
      <c r="D209" s="837"/>
      <c r="E209" s="721"/>
      <c r="F209" s="808" t="str">
        <f>INDEX(PT_DIFFERENTIATION_VTAR,MATCH(A209,PT_DIFFERENTIATION_VTAR_ID,0))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9" s="808" t="str">
        <f>INDEX(PT_DIFFERENTIATION_NTAR,MATCH(B209,PT_DIFFERENTIATION_NTAR_ID,0))</f>
        <v/>
      </c>
      <c r="H209" s="371"/>
      <c r="I209" s="549"/>
      <c r="J209" s="567"/>
      <c r="K209" s="204"/>
      <c r="L209" s="371" t="s">
        <v>309</v>
      </c>
      <c r="M209" s="673"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регулируемой организацией, исчисленных в соответствии с законодательством в сфере теплоснабжения, указывается значение «0».
В случае дифференциации недополученных доходов организацией теплоснабжения по видам тарифов и/или по срокам действия тарифов информация указывается в отдельных строках.</v>
      </c>
      <c r="N209" s="115"/>
      <c r="O209" s="46"/>
      <c r="P209" s="46"/>
      <c r="AH209" s="4">
        <v>0</v>
      </c>
    </row>
    <row r="210" spans="1:34" s="4" customFormat="1" ht="18.75" hidden="1" customHeight="1">
      <c r="C210" s="4" t="s">
        <v>1150</v>
      </c>
      <c r="D210" s="837"/>
      <c r="E210" s="721"/>
      <c r="F210" s="808"/>
      <c r="G210" s="808"/>
      <c r="H210" s="130"/>
      <c r="I210" s="37" t="s">
        <v>1149</v>
      </c>
      <c r="J210" s="37"/>
      <c r="K210" s="130"/>
      <c r="L210" s="68"/>
      <c r="M210" s="705"/>
      <c r="N210" s="115"/>
      <c r="O210" s="46"/>
      <c r="P210" s="46"/>
      <c r="AH210" s="4">
        <v>0</v>
      </c>
    </row>
    <row r="211" spans="1:34" s="4" customFormat="1" ht="0.75" hidden="1" customHeight="1">
      <c r="C211" s="4" t="s">
        <v>1157</v>
      </c>
      <c r="D211" s="837"/>
      <c r="E211" s="721"/>
      <c r="F211" s="808"/>
      <c r="G211" s="130"/>
      <c r="H211" s="130"/>
      <c r="I211" s="37"/>
      <c r="J211" s="37"/>
      <c r="K211" s="130"/>
      <c r="L211" s="68"/>
      <c r="M211" s="705"/>
      <c r="N211" s="115"/>
      <c r="O211" s="46"/>
      <c r="P211" s="46"/>
      <c r="AH211" s="4">
        <v>0</v>
      </c>
    </row>
    <row r="212" spans="1:34" s="4" customFormat="1" ht="45" hidden="1" customHeight="1">
      <c r="A212" s="4" t="s">
        <v>165</v>
      </c>
      <c r="B212" s="4" t="s">
        <v>166</v>
      </c>
      <c r="D212" s="837"/>
      <c r="E212" s="721"/>
      <c r="F212" s="808" t="str">
        <f>INDEX(PT_DIFFERENTIATION_VTAR,MATCH(A212,PT_DIFFERENTIATION_VTAR_ID,0))</f>
        <v/>
      </c>
      <c r="G212" s="808" t="str">
        <f>INDEX(PT_DIFFERENTIATION_NTAR,MATCH(B212,PT_DIFFERENTIATION_NTAR_ID,0))</f>
        <v/>
      </c>
      <c r="H212" s="371"/>
      <c r="I212" s="549"/>
      <c r="J212" s="567"/>
      <c r="K212" s="204"/>
      <c r="L212" s="371" t="s">
        <v>309</v>
      </c>
      <c r="M212" s="676"/>
      <c r="N212" s="115"/>
      <c r="O212" s="46"/>
      <c r="P212" s="46"/>
      <c r="AH212" s="4">
        <v>0</v>
      </c>
    </row>
    <row r="213" spans="1:34" s="4" customFormat="1" ht="18.75" hidden="1" customHeight="1">
      <c r="C213" s="4" t="s">
        <v>1150</v>
      </c>
      <c r="D213" s="837"/>
      <c r="E213" s="721"/>
      <c r="F213" s="808"/>
      <c r="G213" s="808"/>
      <c r="H213" s="130"/>
      <c r="I213" s="37" t="s">
        <v>1149</v>
      </c>
      <c r="J213" s="37"/>
      <c r="K213" s="130"/>
      <c r="L213" s="68"/>
      <c r="M213" s="349"/>
      <c r="N213" s="115"/>
      <c r="O213" s="46"/>
      <c r="P213" s="46"/>
      <c r="AH213" s="4">
        <v>0</v>
      </c>
    </row>
    <row r="214" spans="1:34" s="4" customFormat="1" ht="0.75" hidden="1" customHeight="1">
      <c r="C214" s="4" t="s">
        <v>1157</v>
      </c>
      <c r="D214" s="837"/>
      <c r="E214" s="721"/>
      <c r="F214" s="808"/>
      <c r="G214" s="130"/>
      <c r="H214" s="130"/>
      <c r="I214" s="37"/>
      <c r="J214" s="37"/>
      <c r="K214" s="130"/>
      <c r="L214" s="68"/>
      <c r="M214" s="100"/>
      <c r="N214" s="115"/>
      <c r="O214" s="46"/>
      <c r="P214" s="46"/>
      <c r="AH214" s="4">
        <v>0</v>
      </c>
    </row>
    <row r="215" spans="1:34" s="4" customFormat="1" ht="45" hidden="1" customHeight="1">
      <c r="A215" s="4" t="s">
        <v>172</v>
      </c>
      <c r="B215" s="4" t="s">
        <v>173</v>
      </c>
      <c r="D215" s="837"/>
      <c r="E215" s="721"/>
      <c r="F215" s="808" t="str">
        <f>INDEX(PT_DIFFERENTIATION_VTAR,MATCH(A215,PT_DIFFERENTIATION_VTAR_ID,0))</f>
        <v>Тарифы на теплоноситель, поставляемый теплоснабжающими организациями потребителям, другим теплоснабжающим организациям</v>
      </c>
      <c r="G215" s="808" t="str">
        <f>INDEX(PT_DIFFERENTIATION_NTAR,MATCH(B215,PT_DIFFERENTIATION_NTAR_ID,0))</f>
        <v/>
      </c>
      <c r="H215" s="371"/>
      <c r="I215" s="549"/>
      <c r="J215" s="567"/>
      <c r="K215" s="204"/>
      <c r="L215" s="371" t="s">
        <v>309</v>
      </c>
      <c r="M215" s="100"/>
      <c r="N215" s="115"/>
      <c r="O215" s="46"/>
      <c r="P215" s="46"/>
      <c r="AH215" s="4">
        <v>0</v>
      </c>
    </row>
    <row r="216" spans="1:34" s="4" customFormat="1" ht="18.75" hidden="1" customHeight="1">
      <c r="C216" s="4" t="s">
        <v>1150</v>
      </c>
      <c r="D216" s="837"/>
      <c r="E216" s="721"/>
      <c r="F216" s="808"/>
      <c r="G216" s="808"/>
      <c r="H216" s="130"/>
      <c r="I216" s="37" t="s">
        <v>1149</v>
      </c>
      <c r="J216" s="37"/>
      <c r="K216" s="130"/>
      <c r="L216" s="68"/>
      <c r="M216" s="100"/>
      <c r="N216" s="115"/>
      <c r="O216" s="46"/>
      <c r="P216" s="46"/>
      <c r="AH216" s="4">
        <v>0</v>
      </c>
    </row>
    <row r="217" spans="1:34" s="4" customFormat="1" ht="0.75" hidden="1" customHeight="1">
      <c r="C217" s="4" t="s">
        <v>1157</v>
      </c>
      <c r="D217" s="837"/>
      <c r="E217" s="721"/>
      <c r="F217" s="808"/>
      <c r="G217" s="130"/>
      <c r="H217" s="130"/>
      <c r="I217" s="37"/>
      <c r="J217" s="37"/>
      <c r="K217" s="130"/>
      <c r="L217" s="68"/>
      <c r="M217" s="100"/>
      <c r="N217" s="115"/>
      <c r="O217" s="46"/>
      <c r="P217" s="46"/>
      <c r="AH217" s="4">
        <v>0</v>
      </c>
    </row>
    <row r="218" spans="1:34" s="4" customFormat="1" ht="45" hidden="1" customHeight="1">
      <c r="A218" s="4" t="s">
        <v>178</v>
      </c>
      <c r="B218" s="4" t="s">
        <v>179</v>
      </c>
      <c r="D218" s="837"/>
      <c r="E218" s="721"/>
      <c r="F218" s="808" t="str">
        <f>INDEX(PT_DIFFERENTIATION_VTAR,MATCH(A218,PT_DIFFERENTIATION_VTAR_ID,0))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18" s="808" t="str">
        <f>INDEX(PT_DIFFERENTIATION_NTAR,MATCH(B218,PT_DIFFERENTIATION_NTAR_ID,0))</f>
        <v/>
      </c>
      <c r="H218" s="371"/>
      <c r="I218" s="549"/>
      <c r="J218" s="567"/>
      <c r="K218" s="204"/>
      <c r="L218" s="371" t="s">
        <v>309</v>
      </c>
      <c r="M218" s="100"/>
      <c r="N218" s="115"/>
      <c r="O218" s="46"/>
      <c r="P218" s="46"/>
      <c r="AH218" s="4">
        <v>0</v>
      </c>
    </row>
    <row r="219" spans="1:34" s="4" customFormat="1" ht="18.75" hidden="1" customHeight="1">
      <c r="C219" s="4" t="s">
        <v>1150</v>
      </c>
      <c r="D219" s="837"/>
      <c r="E219" s="721"/>
      <c r="F219" s="808"/>
      <c r="G219" s="808"/>
      <c r="H219" s="130"/>
      <c r="I219" s="37" t="s">
        <v>1149</v>
      </c>
      <c r="J219" s="37"/>
      <c r="K219" s="130"/>
      <c r="L219" s="68"/>
      <c r="M219" s="100"/>
      <c r="N219" s="115"/>
      <c r="O219" s="46"/>
      <c r="P219" s="46"/>
      <c r="AH219" s="4">
        <v>0</v>
      </c>
    </row>
    <row r="220" spans="1:34" s="4" customFormat="1" ht="0.75" hidden="1" customHeight="1">
      <c r="C220" s="4" t="s">
        <v>1157</v>
      </c>
      <c r="D220" s="837"/>
      <c r="E220" s="721"/>
      <c r="F220" s="808"/>
      <c r="G220" s="130"/>
      <c r="H220" s="130"/>
      <c r="I220" s="37"/>
      <c r="J220" s="37"/>
      <c r="K220" s="130"/>
      <c r="L220" s="68"/>
      <c r="M220" s="100"/>
      <c r="N220" s="115"/>
      <c r="O220" s="46"/>
      <c r="P220" s="46"/>
      <c r="AH220" s="4">
        <v>0</v>
      </c>
    </row>
    <row r="221" spans="1:34" s="4" customFormat="1" ht="18.75" hidden="1" customHeight="1">
      <c r="A221" s="4" t="s">
        <v>184</v>
      </c>
      <c r="B221" s="4" t="s">
        <v>185</v>
      </c>
      <c r="D221" s="837"/>
      <c r="E221" s="721"/>
      <c r="F221" s="808" t="str">
        <f>INDEX(PT_DIFFERENTIATION_VTAR,MATCH(A221,PT_DIFFERENTIATION_VTAR_ID,0))</f>
        <v>Тарифы на услуги по передаче тепловой энергии</v>
      </c>
      <c r="G221" s="808" t="str">
        <f>INDEX(PT_DIFFERENTIATION_NTAR,MATCH(B221,PT_DIFFERENTIATION_NTAR_ID,0))</f>
        <v/>
      </c>
      <c r="H221" s="371"/>
      <c r="I221" s="549"/>
      <c r="J221" s="567"/>
      <c r="K221" s="204"/>
      <c r="L221" s="371" t="s">
        <v>309</v>
      </c>
      <c r="M221" s="100"/>
      <c r="N221" s="115"/>
      <c r="O221" s="46"/>
      <c r="P221" s="46"/>
      <c r="AH221" s="4">
        <v>0</v>
      </c>
    </row>
    <row r="222" spans="1:34" s="4" customFormat="1" ht="18.75" hidden="1" customHeight="1">
      <c r="C222" s="4" t="s">
        <v>1150</v>
      </c>
      <c r="D222" s="837"/>
      <c r="E222" s="721"/>
      <c r="F222" s="808"/>
      <c r="G222" s="808"/>
      <c r="H222" s="130"/>
      <c r="I222" s="37" t="s">
        <v>1149</v>
      </c>
      <c r="J222" s="37"/>
      <c r="K222" s="130"/>
      <c r="L222" s="68"/>
      <c r="M222" s="100"/>
      <c r="N222" s="115"/>
      <c r="O222" s="46"/>
      <c r="P222" s="46"/>
      <c r="AH222" s="4">
        <v>0</v>
      </c>
    </row>
    <row r="223" spans="1:34" s="4" customFormat="1" ht="0.75" hidden="1" customHeight="1">
      <c r="C223" s="4" t="s">
        <v>1157</v>
      </c>
      <c r="D223" s="837"/>
      <c r="E223" s="721"/>
      <c r="F223" s="808"/>
      <c r="G223" s="130"/>
      <c r="H223" s="130"/>
      <c r="I223" s="37"/>
      <c r="J223" s="37"/>
      <c r="K223" s="130"/>
      <c r="L223" s="68"/>
      <c r="M223" s="100"/>
      <c r="N223" s="115"/>
      <c r="O223" s="46"/>
      <c r="P223" s="46"/>
      <c r="AH223" s="4">
        <v>0</v>
      </c>
    </row>
    <row r="224" spans="1:34" s="4" customFormat="1" ht="18.75" hidden="1" customHeight="1">
      <c r="A224" s="4" t="s">
        <v>190</v>
      </c>
      <c r="B224" s="4" t="s">
        <v>191</v>
      </c>
      <c r="D224" s="837"/>
      <c r="E224" s="721"/>
      <c r="F224" s="808" t="str">
        <f>INDEX(PT_DIFFERENTIATION_VTAR,MATCH(A224,PT_DIFFERENTIATION_VTAR_ID,0))</f>
        <v>Тарифы на услуги по передаче теплоносителя</v>
      </c>
      <c r="G224" s="808" t="str">
        <f>INDEX(PT_DIFFERENTIATION_NTAR,MATCH(B224,PT_DIFFERENTIATION_NTAR_ID,0))</f>
        <v/>
      </c>
      <c r="H224" s="371"/>
      <c r="I224" s="549"/>
      <c r="J224" s="567"/>
      <c r="K224" s="204"/>
      <c r="L224" s="371" t="s">
        <v>309</v>
      </c>
      <c r="M224" s="100"/>
      <c r="N224" s="115"/>
      <c r="O224" s="46"/>
      <c r="P224" s="46"/>
      <c r="AH224" s="4">
        <v>0</v>
      </c>
    </row>
    <row r="225" spans="1:34" s="4" customFormat="1" ht="18.75" hidden="1" customHeight="1">
      <c r="C225" s="4" t="s">
        <v>1150</v>
      </c>
      <c r="D225" s="837"/>
      <c r="E225" s="721"/>
      <c r="F225" s="808"/>
      <c r="G225" s="808"/>
      <c r="H225" s="130"/>
      <c r="I225" s="37" t="s">
        <v>1149</v>
      </c>
      <c r="J225" s="37"/>
      <c r="K225" s="130"/>
      <c r="L225" s="68"/>
      <c r="M225" s="100"/>
      <c r="N225" s="115"/>
      <c r="O225" s="46"/>
      <c r="P225" s="46"/>
      <c r="AH225" s="4">
        <v>0</v>
      </c>
    </row>
    <row r="226" spans="1:34" s="4" customFormat="1" ht="0.75" hidden="1" customHeight="1">
      <c r="C226" s="4" t="s">
        <v>1157</v>
      </c>
      <c r="D226" s="837"/>
      <c r="E226" s="721"/>
      <c r="F226" s="808"/>
      <c r="G226" s="130"/>
      <c r="H226" s="130"/>
      <c r="I226" s="37"/>
      <c r="J226" s="37"/>
      <c r="K226" s="130"/>
      <c r="L226" s="68"/>
      <c r="M226" s="100"/>
      <c r="N226" s="115"/>
      <c r="O226" s="46"/>
      <c r="P226" s="46"/>
      <c r="AH226" s="4">
        <v>0</v>
      </c>
    </row>
    <row r="227" spans="1:34" s="4" customFormat="1" ht="18.75" hidden="1" customHeight="1">
      <c r="A227" s="4" t="s">
        <v>196</v>
      </c>
      <c r="B227" s="4" t="s">
        <v>197</v>
      </c>
      <c r="D227" s="837"/>
      <c r="E227" s="721"/>
      <c r="F227" s="808" t="str">
        <f>INDEX(PT_DIFFERENTIATION_VTAR,MATCH(A227,PT_DIFFERENTIATION_VTAR_ID,0))</f>
        <v>Плата за услуги по поддержанию резервной тепловой мощности при отсутствии потребления тепловой энергии</v>
      </c>
      <c r="G227" s="808" t="str">
        <f>INDEX(PT_DIFFERENTIATION_NTAR,MATCH(B227,PT_DIFFERENTIATION_NTAR_ID,0))</f>
        <v/>
      </c>
      <c r="H227" s="371"/>
      <c r="I227" s="549"/>
      <c r="J227" s="567"/>
      <c r="K227" s="204"/>
      <c r="L227" s="371" t="s">
        <v>309</v>
      </c>
      <c r="M227" s="100"/>
      <c r="N227" s="115"/>
      <c r="O227" s="46"/>
      <c r="P227" s="46"/>
      <c r="AH227" s="4">
        <v>0</v>
      </c>
    </row>
    <row r="228" spans="1:34" s="4" customFormat="1" ht="18.75" hidden="1" customHeight="1">
      <c r="C228" s="4" t="s">
        <v>1150</v>
      </c>
      <c r="D228" s="837"/>
      <c r="E228" s="721"/>
      <c r="F228" s="808"/>
      <c r="G228" s="808"/>
      <c r="H228" s="130"/>
      <c r="I228" s="37" t="s">
        <v>1149</v>
      </c>
      <c r="J228" s="37"/>
      <c r="K228" s="130"/>
      <c r="L228" s="68"/>
      <c r="M228" s="100"/>
      <c r="N228" s="115"/>
      <c r="O228" s="46"/>
      <c r="P228" s="46"/>
      <c r="AH228" s="4">
        <v>0</v>
      </c>
    </row>
    <row r="229" spans="1:34" s="4" customFormat="1" ht="0.75" hidden="1" customHeight="1">
      <c r="C229" s="4" t="s">
        <v>1157</v>
      </c>
      <c r="D229" s="837"/>
      <c r="E229" s="721"/>
      <c r="F229" s="808"/>
      <c r="G229" s="130"/>
      <c r="H229" s="130"/>
      <c r="I229" s="37"/>
      <c r="J229" s="37"/>
      <c r="K229" s="130"/>
      <c r="L229" s="68"/>
      <c r="M229" s="100"/>
      <c r="N229" s="115"/>
      <c r="O229" s="46"/>
      <c r="P229" s="46"/>
      <c r="AH229" s="4">
        <v>0</v>
      </c>
    </row>
    <row r="230" spans="1:34" s="4" customFormat="1" ht="18.75" hidden="1" customHeight="1">
      <c r="A230" s="4" t="s">
        <v>202</v>
      </c>
      <c r="B230" s="4" t="s">
        <v>203</v>
      </c>
      <c r="D230" s="837"/>
      <c r="E230" s="721"/>
      <c r="F230" s="808" t="str">
        <f>INDEX(PT_DIFFERENTIATION_VTAR,MATCH(A230,PT_DIFFERENTIATION_VTAR_ID,0))</f>
        <v>Плата за подключение (технологическое присоединение) к системе теплоснабжения</v>
      </c>
      <c r="G230" s="808" t="str">
        <f>INDEX(PT_DIFFERENTIATION_NTAR,MATCH(B230,PT_DIFFERENTIATION_NTAR_ID,0))</f>
        <v/>
      </c>
      <c r="H230" s="371"/>
      <c r="I230" s="549"/>
      <c r="J230" s="567"/>
      <c r="K230" s="204"/>
      <c r="L230" s="371" t="s">
        <v>309</v>
      </c>
      <c r="M230" s="100"/>
      <c r="N230" s="115"/>
      <c r="O230" s="46"/>
      <c r="P230" s="46"/>
      <c r="AH230" s="4">
        <v>0</v>
      </c>
    </row>
    <row r="231" spans="1:34" s="4" customFormat="1" ht="18.75" hidden="1" customHeight="1">
      <c r="C231" s="4" t="s">
        <v>1150</v>
      </c>
      <c r="D231" s="837"/>
      <c r="E231" s="721"/>
      <c r="F231" s="808"/>
      <c r="G231" s="808"/>
      <c r="H231" s="130"/>
      <c r="I231" s="37" t="s">
        <v>1149</v>
      </c>
      <c r="J231" s="37"/>
      <c r="K231" s="130"/>
      <c r="L231" s="68"/>
      <c r="M231" s="100"/>
      <c r="N231" s="115"/>
      <c r="O231" s="46"/>
      <c r="P231" s="46"/>
      <c r="AH231" s="4">
        <v>0</v>
      </c>
    </row>
    <row r="232" spans="1:34" s="4" customFormat="1" ht="0.75" hidden="1" customHeight="1">
      <c r="C232" s="4" t="s">
        <v>1157</v>
      </c>
      <c r="D232" s="837"/>
      <c r="E232" s="721"/>
      <c r="F232" s="808"/>
      <c r="G232" s="130"/>
      <c r="H232" s="130"/>
      <c r="I232" s="37"/>
      <c r="J232" s="37"/>
      <c r="K232" s="130"/>
      <c r="L232" s="68"/>
      <c r="M232" s="100"/>
      <c r="N232" s="115"/>
      <c r="O232" s="46"/>
      <c r="P232" s="46"/>
      <c r="AH232" s="4">
        <v>0</v>
      </c>
    </row>
    <row r="233" spans="1:34" s="4" customFormat="1" ht="18.75" hidden="1" customHeight="1">
      <c r="A233" s="4" t="s">
        <v>208</v>
      </c>
      <c r="B233" s="4" t="s">
        <v>209</v>
      </c>
      <c r="D233" s="837"/>
      <c r="E233" s="721"/>
      <c r="F233" s="808" t="str">
        <f>INDEX(PT_DIFFERENTIATION_VTAR,MATCH(A233,PT_DIFFERENTIATION_VTAR_ID,0))</f>
        <v>Плата за подключение (технологическое присоединение) к системе теплоснабжения (индивидуальная)</v>
      </c>
      <c r="G233" s="808" t="str">
        <f>INDEX(PT_DIFFERENTIATION_NTAR,MATCH(B233,PT_DIFFERENTIATION_NTAR_ID,0))</f>
        <v/>
      </c>
      <c r="H233" s="371"/>
      <c r="I233" s="549"/>
      <c r="J233" s="567"/>
      <c r="K233" s="204"/>
      <c r="L233" s="371" t="s">
        <v>309</v>
      </c>
      <c r="M233" s="100"/>
      <c r="N233" s="115"/>
      <c r="O233" s="46"/>
      <c r="P233" s="46"/>
      <c r="AH233" s="4">
        <v>0</v>
      </c>
    </row>
    <row r="234" spans="1:34" s="4" customFormat="1" ht="18.75" hidden="1" customHeight="1">
      <c r="C234" s="4" t="s">
        <v>1150</v>
      </c>
      <c r="D234" s="837"/>
      <c r="E234" s="721"/>
      <c r="F234" s="808"/>
      <c r="G234" s="808"/>
      <c r="H234" s="130"/>
      <c r="I234" s="37" t="s">
        <v>1149</v>
      </c>
      <c r="J234" s="37"/>
      <c r="K234" s="130"/>
      <c r="L234" s="68"/>
      <c r="M234" s="100"/>
      <c r="N234" s="115"/>
      <c r="O234" s="46"/>
      <c r="P234" s="46"/>
      <c r="AH234" s="4">
        <v>0</v>
      </c>
    </row>
    <row r="235" spans="1:34" s="4" customFormat="1" ht="0.75" hidden="1" customHeight="1">
      <c r="C235" s="4" t="s">
        <v>1157</v>
      </c>
      <c r="D235" s="837"/>
      <c r="E235" s="721"/>
      <c r="F235" s="808"/>
      <c r="G235" s="130"/>
      <c r="H235" s="130"/>
      <c r="I235" s="37"/>
      <c r="J235" s="37"/>
      <c r="K235" s="130"/>
      <c r="L235" s="68"/>
      <c r="M235" s="100"/>
      <c r="N235" s="115"/>
      <c r="O235" s="46"/>
      <c r="P235" s="46"/>
      <c r="AH235" s="4">
        <v>0</v>
      </c>
    </row>
    <row r="236" spans="1:34" s="4" customFormat="1" ht="18.75" hidden="1" customHeight="1">
      <c r="A236" s="4" t="s">
        <v>228</v>
      </c>
      <c r="B236" s="4" t="s">
        <v>229</v>
      </c>
      <c r="D236" s="837"/>
      <c r="E236" s="721"/>
      <c r="F236" s="808" t="str">
        <f>INDEX(PT_DIFFERENTIATION_VTAR,MATCH(A236,PT_DIFFERENTIATION_VTAR_ID,0))</f>
        <v>Тариф на питьевую воду (питьевое водоснабжение)</v>
      </c>
      <c r="G236" s="808" t="str">
        <f>INDEX(PT_DIFFERENTIATION_NTAR,MATCH(B236,PT_DIFFERENTIATION_NTAR_ID,0))</f>
        <v/>
      </c>
      <c r="H236" s="371"/>
      <c r="I236" s="549"/>
      <c r="J236" s="567"/>
      <c r="K236" s="204"/>
      <c r="L236" s="371" t="s">
        <v>309</v>
      </c>
      <c r="M236" s="100"/>
      <c r="N236" s="115"/>
      <c r="O236" s="46"/>
      <c r="P236" s="46"/>
      <c r="AH236" s="4">
        <v>0</v>
      </c>
    </row>
    <row r="237" spans="1:34" s="4" customFormat="1" ht="18.75" hidden="1" customHeight="1">
      <c r="C237" s="4" t="s">
        <v>1150</v>
      </c>
      <c r="D237" s="837"/>
      <c r="E237" s="721"/>
      <c r="F237" s="808"/>
      <c r="G237" s="808"/>
      <c r="H237" s="130"/>
      <c r="I237" s="37" t="s">
        <v>1149</v>
      </c>
      <c r="J237" s="37"/>
      <c r="K237" s="130"/>
      <c r="L237" s="68"/>
      <c r="M237" s="100"/>
      <c r="N237" s="115"/>
      <c r="O237" s="46"/>
      <c r="P237" s="46"/>
      <c r="AH237" s="4">
        <v>0</v>
      </c>
    </row>
    <row r="238" spans="1:34" s="4" customFormat="1" ht="0.75" hidden="1" customHeight="1">
      <c r="C238" s="4" t="s">
        <v>1157</v>
      </c>
      <c r="D238" s="837"/>
      <c r="E238" s="721"/>
      <c r="F238" s="808"/>
      <c r="G238" s="130"/>
      <c r="H238" s="130"/>
      <c r="I238" s="37"/>
      <c r="J238" s="37"/>
      <c r="K238" s="130"/>
      <c r="L238" s="68"/>
      <c r="M238" s="100"/>
      <c r="N238" s="115"/>
      <c r="O238" s="46"/>
      <c r="P238" s="46"/>
      <c r="AH238" s="4">
        <v>0</v>
      </c>
    </row>
    <row r="239" spans="1:34" s="4" customFormat="1" ht="18.75" hidden="1" customHeight="1">
      <c r="A239" s="4" t="s">
        <v>233</v>
      </c>
      <c r="B239" s="4" t="s">
        <v>234</v>
      </c>
      <c r="D239" s="837"/>
      <c r="E239" s="721"/>
      <c r="F239" s="808" t="str">
        <f>INDEX(PT_DIFFERENTIATION_VTAR,MATCH(A239,PT_DIFFERENTIATION_VTAR_ID,0))</f>
        <v>Тариф на техническую воду</v>
      </c>
      <c r="G239" s="808" t="str">
        <f>INDEX(PT_DIFFERENTIATION_NTAR,MATCH(B239,PT_DIFFERENTIATION_NTAR_ID,0))</f>
        <v/>
      </c>
      <c r="H239" s="371"/>
      <c r="I239" s="549"/>
      <c r="J239" s="567"/>
      <c r="K239" s="204"/>
      <c r="L239" s="371" t="s">
        <v>309</v>
      </c>
      <c r="M239" s="100"/>
      <c r="N239" s="115"/>
      <c r="O239" s="46"/>
      <c r="P239" s="46"/>
      <c r="AH239" s="4">
        <v>0</v>
      </c>
    </row>
    <row r="240" spans="1:34" s="4" customFormat="1" ht="18.75" hidden="1" customHeight="1">
      <c r="C240" s="4" t="s">
        <v>1150</v>
      </c>
      <c r="D240" s="837"/>
      <c r="E240" s="721"/>
      <c r="F240" s="808"/>
      <c r="G240" s="808"/>
      <c r="H240" s="130"/>
      <c r="I240" s="37" t="s">
        <v>1149</v>
      </c>
      <c r="J240" s="37"/>
      <c r="K240" s="130"/>
      <c r="L240" s="68"/>
      <c r="M240" s="100"/>
      <c r="N240" s="115"/>
      <c r="O240" s="46"/>
      <c r="P240" s="46"/>
      <c r="AH240" s="4">
        <v>0</v>
      </c>
    </row>
    <row r="241" spans="1:34" s="4" customFormat="1" ht="0.75" hidden="1" customHeight="1">
      <c r="C241" s="4" t="s">
        <v>1157</v>
      </c>
      <c r="D241" s="837"/>
      <c r="E241" s="721"/>
      <c r="F241" s="808"/>
      <c r="G241" s="130"/>
      <c r="H241" s="130"/>
      <c r="I241" s="37"/>
      <c r="J241" s="37"/>
      <c r="K241" s="130"/>
      <c r="L241" s="68"/>
      <c r="M241" s="100"/>
      <c r="N241" s="115"/>
      <c r="O241" s="46"/>
      <c r="P241" s="46"/>
      <c r="AH241" s="4">
        <v>0</v>
      </c>
    </row>
    <row r="242" spans="1:34" s="4" customFormat="1" ht="18.75" hidden="1" customHeight="1">
      <c r="A242" s="4" t="s">
        <v>238</v>
      </c>
      <c r="B242" s="4" t="s">
        <v>239</v>
      </c>
      <c r="D242" s="837"/>
      <c r="E242" s="721"/>
      <c r="F242" s="808" t="str">
        <f>INDEX(PT_DIFFERENTIATION_VTAR,MATCH(A242,PT_DIFFERENTIATION_VTAR_ID,0))</f>
        <v>Тариф на транспортировку воды</v>
      </c>
      <c r="G242" s="808" t="str">
        <f>INDEX(PT_DIFFERENTIATION_NTAR,MATCH(B242,PT_DIFFERENTIATION_NTAR_ID,0))</f>
        <v/>
      </c>
      <c r="H242" s="371"/>
      <c r="I242" s="549"/>
      <c r="J242" s="567"/>
      <c r="K242" s="204"/>
      <c r="L242" s="371" t="s">
        <v>309</v>
      </c>
      <c r="M242" s="100"/>
      <c r="N242" s="115"/>
      <c r="O242" s="46"/>
      <c r="P242" s="46"/>
      <c r="AH242" s="4">
        <v>0</v>
      </c>
    </row>
    <row r="243" spans="1:34" s="4" customFormat="1" ht="18.75" hidden="1" customHeight="1">
      <c r="C243" s="4" t="s">
        <v>1150</v>
      </c>
      <c r="D243" s="837"/>
      <c r="E243" s="721"/>
      <c r="F243" s="808"/>
      <c r="G243" s="808"/>
      <c r="H243" s="130"/>
      <c r="I243" s="37" t="s">
        <v>1149</v>
      </c>
      <c r="J243" s="37"/>
      <c r="K243" s="130"/>
      <c r="L243" s="68"/>
      <c r="M243" s="100"/>
      <c r="N243" s="115"/>
      <c r="O243" s="46"/>
      <c r="P243" s="46"/>
      <c r="AH243" s="4">
        <v>0</v>
      </c>
    </row>
    <row r="244" spans="1:34" s="4" customFormat="1" ht="0.75" hidden="1" customHeight="1">
      <c r="C244" s="4" t="s">
        <v>1157</v>
      </c>
      <c r="D244" s="837"/>
      <c r="E244" s="721"/>
      <c r="F244" s="808"/>
      <c r="G244" s="130"/>
      <c r="H244" s="130"/>
      <c r="I244" s="37"/>
      <c r="J244" s="37"/>
      <c r="K244" s="130"/>
      <c r="L244" s="68"/>
      <c r="M244" s="100"/>
      <c r="N244" s="115"/>
      <c r="O244" s="46"/>
      <c r="P244" s="46"/>
      <c r="AH244" s="4">
        <v>0</v>
      </c>
    </row>
    <row r="245" spans="1:34" s="4" customFormat="1" ht="18.75" hidden="1" customHeight="1">
      <c r="A245" s="4" t="s">
        <v>243</v>
      </c>
      <c r="B245" s="4" t="s">
        <v>244</v>
      </c>
      <c r="D245" s="837"/>
      <c r="E245" s="721"/>
      <c r="F245" s="808" t="str">
        <f>INDEX(PT_DIFFERENTIATION_VTAR,MATCH(A245,PT_DIFFERENTIATION_VTAR_ID,0))</f>
        <v>Тариф на подвоз воды</v>
      </c>
      <c r="G245" s="808" t="str">
        <f>INDEX(PT_DIFFERENTIATION_NTAR,MATCH(B245,PT_DIFFERENTIATION_NTAR_ID,0))</f>
        <v/>
      </c>
      <c r="H245" s="371"/>
      <c r="I245" s="549"/>
      <c r="J245" s="567"/>
      <c r="K245" s="204"/>
      <c r="L245" s="371" t="s">
        <v>309</v>
      </c>
      <c r="M245" s="100"/>
      <c r="N245" s="115"/>
      <c r="O245" s="46"/>
      <c r="P245" s="46"/>
      <c r="AH245" s="4">
        <v>0</v>
      </c>
    </row>
    <row r="246" spans="1:34" s="4" customFormat="1" ht="18.75" hidden="1" customHeight="1">
      <c r="C246" s="4" t="s">
        <v>1150</v>
      </c>
      <c r="D246" s="837"/>
      <c r="E246" s="721"/>
      <c r="F246" s="808"/>
      <c r="G246" s="808"/>
      <c r="H246" s="130"/>
      <c r="I246" s="37" t="s">
        <v>1149</v>
      </c>
      <c r="J246" s="37"/>
      <c r="K246" s="130"/>
      <c r="L246" s="68"/>
      <c r="M246" s="100"/>
      <c r="N246" s="115"/>
      <c r="O246" s="46"/>
      <c r="P246" s="46"/>
      <c r="AH246" s="4">
        <v>0</v>
      </c>
    </row>
    <row r="247" spans="1:34" s="4" customFormat="1" ht="0.75" hidden="1" customHeight="1">
      <c r="C247" s="4" t="s">
        <v>1157</v>
      </c>
      <c r="D247" s="837"/>
      <c r="E247" s="721"/>
      <c r="F247" s="808"/>
      <c r="G247" s="130"/>
      <c r="H247" s="130"/>
      <c r="I247" s="37"/>
      <c r="J247" s="37"/>
      <c r="K247" s="130"/>
      <c r="L247" s="68"/>
      <c r="M247" s="100"/>
      <c r="N247" s="115"/>
      <c r="O247" s="46"/>
      <c r="P247" s="46"/>
      <c r="AH247" s="4">
        <v>0</v>
      </c>
    </row>
    <row r="248" spans="1:34" s="4" customFormat="1" ht="18.75" hidden="1" customHeight="1">
      <c r="A248" s="4" t="s">
        <v>248</v>
      </c>
      <c r="B248" s="4" t="s">
        <v>249</v>
      </c>
      <c r="D248" s="837"/>
      <c r="E248" s="721"/>
      <c r="F248" s="808" t="str">
        <f>INDEX(PT_DIFFERENTIATION_VTAR,MATCH(A248,PT_DIFFERENTIATION_VTAR_ID,0))</f>
        <v>Тариф на подключение (технологическое присоединение) к централизованной системе холодного водоснабжения</v>
      </c>
      <c r="G248" s="808" t="str">
        <f>INDEX(PT_DIFFERENTIATION_NTAR,MATCH(B248,PT_DIFFERENTIATION_NTAR_ID,0))</f>
        <v/>
      </c>
      <c r="H248" s="371"/>
      <c r="I248" s="549"/>
      <c r="J248" s="567"/>
      <c r="K248" s="204"/>
      <c r="L248" s="371" t="s">
        <v>309</v>
      </c>
      <c r="M248" s="100"/>
      <c r="N248" s="115"/>
      <c r="O248" s="46"/>
      <c r="P248" s="46"/>
      <c r="AH248" s="4">
        <v>0</v>
      </c>
    </row>
    <row r="249" spans="1:34" s="4" customFormat="1" ht="18.75" hidden="1" customHeight="1">
      <c r="C249" s="4" t="s">
        <v>1150</v>
      </c>
      <c r="D249" s="837"/>
      <c r="E249" s="721"/>
      <c r="F249" s="808"/>
      <c r="G249" s="808"/>
      <c r="H249" s="130"/>
      <c r="I249" s="37" t="s">
        <v>1149</v>
      </c>
      <c r="J249" s="37"/>
      <c r="K249" s="130"/>
      <c r="L249" s="68"/>
      <c r="M249" s="100"/>
      <c r="N249" s="115"/>
      <c r="O249" s="46"/>
      <c r="P249" s="46"/>
      <c r="AH249" s="4">
        <v>0</v>
      </c>
    </row>
    <row r="250" spans="1:34" s="4" customFormat="1" ht="0.75" hidden="1" customHeight="1">
      <c r="C250" s="4" t="s">
        <v>1157</v>
      </c>
      <c r="D250" s="837"/>
      <c r="E250" s="721"/>
      <c r="F250" s="808"/>
      <c r="G250" s="130"/>
      <c r="H250" s="130"/>
      <c r="I250" s="37"/>
      <c r="J250" s="37"/>
      <c r="K250" s="130"/>
      <c r="L250" s="68"/>
      <c r="M250" s="100"/>
      <c r="N250" s="115"/>
      <c r="O250" s="46"/>
      <c r="P250" s="46"/>
      <c r="AH250" s="4">
        <v>0</v>
      </c>
    </row>
    <row r="251" spans="1:34" s="4" customFormat="1" ht="18.75" hidden="1" customHeight="1">
      <c r="A251" s="4" t="s">
        <v>253</v>
      </c>
      <c r="B251" s="4" t="s">
        <v>254</v>
      </c>
      <c r="D251" s="837"/>
      <c r="E251" s="721"/>
      <c r="F251" s="808" t="str">
        <f>INDEX(PT_DIFFERENTIATION_VTAR,MATCH(A251,PT_DIFFERENTIATION_VTAR_ID,0))</f>
        <v>Тариф на горячую воду (горячее водоснабжение)</v>
      </c>
      <c r="G251" s="808" t="str">
        <f>INDEX(PT_DIFFERENTIATION_NTAR,MATCH(B251,PT_DIFFERENTIATION_NTAR_ID,0))</f>
        <v/>
      </c>
      <c r="H251" s="371"/>
      <c r="I251" s="549"/>
      <c r="J251" s="567"/>
      <c r="K251" s="204"/>
      <c r="L251" s="371" t="s">
        <v>309</v>
      </c>
      <c r="M251" s="100"/>
      <c r="N251" s="115"/>
      <c r="O251" s="46"/>
      <c r="P251" s="46"/>
      <c r="AH251" s="4">
        <v>0</v>
      </c>
    </row>
    <row r="252" spans="1:34" s="4" customFormat="1" ht="18.75" hidden="1" customHeight="1">
      <c r="C252" s="4" t="s">
        <v>1150</v>
      </c>
      <c r="D252" s="837"/>
      <c r="E252" s="721"/>
      <c r="F252" s="808"/>
      <c r="G252" s="808"/>
      <c r="H252" s="130"/>
      <c r="I252" s="37" t="s">
        <v>1149</v>
      </c>
      <c r="J252" s="37"/>
      <c r="K252" s="130"/>
      <c r="L252" s="68"/>
      <c r="M252" s="100"/>
      <c r="N252" s="115"/>
      <c r="O252" s="46"/>
      <c r="P252" s="46"/>
      <c r="AH252" s="4">
        <v>0</v>
      </c>
    </row>
    <row r="253" spans="1:34" s="4" customFormat="1" ht="0.75" hidden="1" customHeight="1">
      <c r="C253" s="4" t="s">
        <v>1157</v>
      </c>
      <c r="D253" s="837"/>
      <c r="E253" s="721"/>
      <c r="F253" s="808"/>
      <c r="G253" s="130"/>
      <c r="H253" s="130"/>
      <c r="I253" s="37"/>
      <c r="J253" s="37"/>
      <c r="K253" s="130"/>
      <c r="L253" s="68"/>
      <c r="M253" s="100"/>
      <c r="N253" s="115"/>
      <c r="O253" s="46"/>
      <c r="P253" s="46"/>
      <c r="AH253" s="4">
        <v>0</v>
      </c>
    </row>
    <row r="254" spans="1:34" s="4" customFormat="1" ht="18.75" hidden="1" customHeight="1">
      <c r="A254" s="4" t="s">
        <v>258</v>
      </c>
      <c r="B254" s="4" t="s">
        <v>259</v>
      </c>
      <c r="D254" s="837"/>
      <c r="E254" s="721"/>
      <c r="F254" s="808" t="str">
        <f>INDEX(PT_DIFFERENTIATION_VTAR,MATCH(A254,PT_DIFFERENTIATION_VTAR_ID,0))</f>
        <v>Тариф на транспортировку горячей воды</v>
      </c>
      <c r="G254" s="808" t="str">
        <f>INDEX(PT_DIFFERENTIATION_NTAR,MATCH(B254,PT_DIFFERENTIATION_NTAR_ID,0))</f>
        <v/>
      </c>
      <c r="H254" s="371"/>
      <c r="I254" s="549"/>
      <c r="J254" s="567"/>
      <c r="K254" s="204"/>
      <c r="L254" s="371" t="s">
        <v>309</v>
      </c>
      <c r="M254" s="100"/>
      <c r="N254" s="115"/>
      <c r="O254" s="46"/>
      <c r="P254" s="46"/>
      <c r="AH254" s="4">
        <v>0</v>
      </c>
    </row>
    <row r="255" spans="1:34" s="4" customFormat="1" ht="18.75" hidden="1" customHeight="1">
      <c r="C255" s="4" t="s">
        <v>1150</v>
      </c>
      <c r="D255" s="837"/>
      <c r="E255" s="721"/>
      <c r="F255" s="808"/>
      <c r="G255" s="808"/>
      <c r="H255" s="130"/>
      <c r="I255" s="37" t="s">
        <v>1149</v>
      </c>
      <c r="J255" s="37"/>
      <c r="K255" s="130"/>
      <c r="L255" s="68"/>
      <c r="M255" s="100"/>
      <c r="N255" s="115"/>
      <c r="O255" s="46"/>
      <c r="P255" s="46"/>
      <c r="AH255" s="4">
        <v>0</v>
      </c>
    </row>
    <row r="256" spans="1:34" s="4" customFormat="1" ht="0.75" hidden="1" customHeight="1">
      <c r="C256" s="4" t="s">
        <v>1157</v>
      </c>
      <c r="D256" s="837"/>
      <c r="E256" s="721"/>
      <c r="F256" s="808"/>
      <c r="G256" s="130"/>
      <c r="H256" s="130"/>
      <c r="I256" s="37"/>
      <c r="J256" s="37"/>
      <c r="K256" s="130"/>
      <c r="L256" s="68"/>
      <c r="M256" s="100"/>
      <c r="N256" s="115"/>
      <c r="O256" s="46"/>
      <c r="P256" s="46"/>
      <c r="AH256" s="4">
        <v>0</v>
      </c>
    </row>
    <row r="257" spans="1:34" s="4" customFormat="1" ht="18.75" hidden="1" customHeight="1">
      <c r="A257" s="4" t="s">
        <v>263</v>
      </c>
      <c r="B257" s="4" t="s">
        <v>264</v>
      </c>
      <c r="D257" s="837"/>
      <c r="E257" s="721"/>
      <c r="F257" s="808" t="str">
        <f>INDEX(PT_DIFFERENTIATION_VTAR,MATCH(A257,PT_DIFFERENTIATION_VTAR_ID,0))</f>
        <v>Тариф на подключение (технологическое присоединение) к централизованной системе горячего водоснабжения</v>
      </c>
      <c r="G257" s="808" t="str">
        <f>INDEX(PT_DIFFERENTIATION_NTAR,MATCH(B257,PT_DIFFERENTIATION_NTAR_ID,0))</f>
        <v/>
      </c>
      <c r="H257" s="371"/>
      <c r="I257" s="549"/>
      <c r="J257" s="567"/>
      <c r="K257" s="204"/>
      <c r="L257" s="371" t="s">
        <v>309</v>
      </c>
      <c r="M257" s="100"/>
      <c r="N257" s="115"/>
      <c r="O257" s="46"/>
      <c r="P257" s="46"/>
      <c r="AH257" s="4">
        <v>0</v>
      </c>
    </row>
    <row r="258" spans="1:34" s="4" customFormat="1" ht="18.75" hidden="1" customHeight="1">
      <c r="C258" s="4" t="s">
        <v>1150</v>
      </c>
      <c r="D258" s="837"/>
      <c r="E258" s="721"/>
      <c r="F258" s="808"/>
      <c r="G258" s="808"/>
      <c r="H258" s="130"/>
      <c r="I258" s="37" t="s">
        <v>1149</v>
      </c>
      <c r="J258" s="37"/>
      <c r="K258" s="130"/>
      <c r="L258" s="68"/>
      <c r="M258" s="100"/>
      <c r="N258" s="115"/>
      <c r="O258" s="46"/>
      <c r="P258" s="46"/>
      <c r="AH258" s="4">
        <v>0</v>
      </c>
    </row>
    <row r="259" spans="1:34" s="4" customFormat="1" ht="0.75" hidden="1" customHeight="1">
      <c r="C259" s="4" t="s">
        <v>1157</v>
      </c>
      <c r="D259" s="837"/>
      <c r="E259" s="721"/>
      <c r="F259" s="808"/>
      <c r="G259" s="130"/>
      <c r="H259" s="130"/>
      <c r="I259" s="37"/>
      <c r="J259" s="37"/>
      <c r="K259" s="130"/>
      <c r="L259" s="68"/>
      <c r="M259" s="100"/>
      <c r="N259" s="115"/>
      <c r="O259" s="46"/>
      <c r="P259" s="46"/>
      <c r="AH259" s="4">
        <v>0</v>
      </c>
    </row>
    <row r="260" spans="1:34" s="4" customFormat="1" ht="18.75" hidden="1" customHeight="1">
      <c r="A260" s="4" t="s">
        <v>268</v>
      </c>
      <c r="B260" s="4" t="s">
        <v>269</v>
      </c>
      <c r="D260" s="837"/>
      <c r="E260" s="721"/>
      <c r="F260" s="808" t="str">
        <f>INDEX(PT_DIFFERENTIATION_VTAR,MATCH(A260,PT_DIFFERENTIATION_VTAR_ID,0))</f>
        <v>Тариф на водоотведение</v>
      </c>
      <c r="G260" s="808" t="str">
        <f>INDEX(PT_DIFFERENTIATION_NTAR,MATCH(B260,PT_DIFFERENTIATION_NTAR_ID,0))</f>
        <v/>
      </c>
      <c r="H260" s="371"/>
      <c r="I260" s="549"/>
      <c r="J260" s="567"/>
      <c r="K260" s="204"/>
      <c r="L260" s="371" t="s">
        <v>309</v>
      </c>
      <c r="M260" s="100"/>
      <c r="N260" s="115"/>
      <c r="O260" s="46"/>
      <c r="P260" s="46"/>
      <c r="AH260" s="4">
        <v>0</v>
      </c>
    </row>
    <row r="261" spans="1:34" s="4" customFormat="1" ht="18.75" hidden="1" customHeight="1">
      <c r="C261" s="4" t="s">
        <v>1150</v>
      </c>
      <c r="D261" s="837"/>
      <c r="E261" s="721"/>
      <c r="F261" s="808"/>
      <c r="G261" s="808"/>
      <c r="H261" s="130"/>
      <c r="I261" s="37" t="s">
        <v>1149</v>
      </c>
      <c r="J261" s="37"/>
      <c r="K261" s="130"/>
      <c r="L261" s="68"/>
      <c r="M261" s="100"/>
      <c r="N261" s="115"/>
      <c r="O261" s="46"/>
      <c r="P261" s="46"/>
      <c r="AH261" s="4">
        <v>0</v>
      </c>
    </row>
    <row r="262" spans="1:34" s="4" customFormat="1" ht="0.75" hidden="1" customHeight="1">
      <c r="C262" s="4" t="s">
        <v>1157</v>
      </c>
      <c r="D262" s="837"/>
      <c r="E262" s="721"/>
      <c r="F262" s="808"/>
      <c r="G262" s="130"/>
      <c r="H262" s="130"/>
      <c r="I262" s="37"/>
      <c r="J262" s="37"/>
      <c r="K262" s="130"/>
      <c r="L262" s="68"/>
      <c r="M262" s="100"/>
      <c r="N262" s="115"/>
      <c r="O262" s="46"/>
      <c r="P262" s="46"/>
      <c r="AH262" s="4">
        <v>0</v>
      </c>
    </row>
    <row r="263" spans="1:34" s="4" customFormat="1" ht="18.75" hidden="1" customHeight="1">
      <c r="A263" s="4" t="s">
        <v>273</v>
      </c>
      <c r="B263" s="4" t="s">
        <v>274</v>
      </c>
      <c r="D263" s="837"/>
      <c r="E263" s="721"/>
      <c r="F263" s="808" t="str">
        <f>INDEX(PT_DIFFERENTIATION_VTAR,MATCH(A263,PT_DIFFERENTIATION_VTAR_ID,0))</f>
        <v>Тариф на транспортировку сточных вод</v>
      </c>
      <c r="G263" s="808" t="str">
        <f>INDEX(PT_DIFFERENTIATION_NTAR,MATCH(B263,PT_DIFFERENTIATION_NTAR_ID,0))</f>
        <v/>
      </c>
      <c r="H263" s="371"/>
      <c r="I263" s="549"/>
      <c r="J263" s="567"/>
      <c r="K263" s="204"/>
      <c r="L263" s="371" t="s">
        <v>309</v>
      </c>
      <c r="M263" s="100"/>
      <c r="N263" s="115"/>
      <c r="O263" s="46"/>
      <c r="P263" s="46"/>
      <c r="AH263" s="4">
        <v>0</v>
      </c>
    </row>
    <row r="264" spans="1:34" s="4" customFormat="1" ht="18.75" hidden="1" customHeight="1">
      <c r="C264" s="4" t="s">
        <v>1150</v>
      </c>
      <c r="D264" s="837"/>
      <c r="E264" s="721"/>
      <c r="F264" s="808"/>
      <c r="G264" s="808"/>
      <c r="H264" s="130"/>
      <c r="I264" s="37" t="s">
        <v>1149</v>
      </c>
      <c r="J264" s="37"/>
      <c r="K264" s="130"/>
      <c r="L264" s="68"/>
      <c r="M264" s="100"/>
      <c r="N264" s="115"/>
      <c r="O264" s="46"/>
      <c r="P264" s="46"/>
      <c r="AH264" s="4">
        <v>0</v>
      </c>
    </row>
    <row r="265" spans="1:34" s="4" customFormat="1" ht="0.75" hidden="1" customHeight="1">
      <c r="C265" s="4" t="s">
        <v>1157</v>
      </c>
      <c r="D265" s="837"/>
      <c r="E265" s="721"/>
      <c r="F265" s="808"/>
      <c r="G265" s="130"/>
      <c r="H265" s="130"/>
      <c r="I265" s="37"/>
      <c r="J265" s="37"/>
      <c r="K265" s="130"/>
      <c r="L265" s="68"/>
      <c r="M265" s="100"/>
      <c r="N265" s="115"/>
      <c r="O265" s="46"/>
      <c r="P265" s="46"/>
      <c r="AH265" s="4">
        <v>0</v>
      </c>
    </row>
    <row r="266" spans="1:34" s="4" customFormat="1" ht="18.75" hidden="1" customHeight="1">
      <c r="A266" s="4" t="s">
        <v>278</v>
      </c>
      <c r="B266" s="4" t="s">
        <v>279</v>
      </c>
      <c r="D266" s="837"/>
      <c r="E266" s="721"/>
      <c r="F266" s="808" t="str">
        <f>INDEX(PT_DIFFERENTIATION_VTAR,MATCH(A266,PT_DIFFERENTIATION_VTAR_ID,0))</f>
        <v>Тариф на подключение (технологическое присоединение) к централизованной системе водоотведения</v>
      </c>
      <c r="G266" s="808" t="str">
        <f>INDEX(PT_DIFFERENTIATION_NTAR,MATCH(B266,PT_DIFFERENTIATION_NTAR_ID,0))</f>
        <v/>
      </c>
      <c r="H266" s="371"/>
      <c r="I266" s="549"/>
      <c r="J266" s="567"/>
      <c r="K266" s="204"/>
      <c r="L266" s="371" t="s">
        <v>309</v>
      </c>
      <c r="M266" s="100"/>
      <c r="N266" s="115"/>
      <c r="O266" s="46"/>
      <c r="P266" s="46"/>
      <c r="AH266" s="4">
        <v>0</v>
      </c>
    </row>
    <row r="267" spans="1:34" s="4" customFormat="1" ht="18.75" hidden="1" customHeight="1">
      <c r="C267" s="4" t="s">
        <v>1150</v>
      </c>
      <c r="D267" s="837"/>
      <c r="E267" s="721"/>
      <c r="F267" s="808"/>
      <c r="G267" s="808"/>
      <c r="H267" s="130"/>
      <c r="I267" s="37" t="s">
        <v>1149</v>
      </c>
      <c r="J267" s="37"/>
      <c r="K267" s="130"/>
      <c r="L267" s="68"/>
      <c r="M267" s="100"/>
      <c r="N267" s="115"/>
      <c r="O267" s="46"/>
      <c r="P267" s="46"/>
      <c r="AH267" s="4">
        <v>0</v>
      </c>
    </row>
    <row r="268" spans="1:34" s="4" customFormat="1" ht="1.1499999999999999" customHeight="1">
      <c r="C268" s="4" t="s">
        <v>1157</v>
      </c>
      <c r="D268" s="837"/>
      <c r="E268" s="721"/>
      <c r="F268" s="808"/>
      <c r="G268" s="130"/>
      <c r="H268" s="130"/>
      <c r="I268" s="37"/>
      <c r="J268" s="37"/>
      <c r="K268" s="130"/>
      <c r="L268" s="68"/>
      <c r="M268" s="100"/>
      <c r="N268" s="115"/>
      <c r="O268" s="46"/>
      <c r="P268" s="46"/>
      <c r="AH268" s="4">
        <v>1</v>
      </c>
    </row>
    <row r="269" spans="1:34" ht="27.4" customHeight="1">
      <c r="A269" s="4"/>
      <c r="B269" s="4"/>
      <c r="D269" s="19"/>
      <c r="E269" s="44" t="s">
        <v>92</v>
      </c>
      <c r="F269" s="698"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регулируемых цен (тарифов) в предыдущий период регулирования (при их наличии), определенном в соответствии с законодательством в сфере теплоснабжения</v>
      </c>
      <c r="G269" s="698"/>
      <c r="H269" s="698"/>
      <c r="I269" s="698"/>
      <c r="J269" s="698"/>
      <c r="K269" s="698"/>
      <c r="L269" s="698"/>
      <c r="M269" s="29"/>
      <c r="N269" s="115"/>
      <c r="AH269" s="4">
        <v>26</v>
      </c>
    </row>
    <row r="270" spans="1:34" s="4" customFormat="1" ht="60.75" hidden="1" customHeight="1">
      <c r="A270" s="4" t="s">
        <v>160</v>
      </c>
      <c r="B270" s="4" t="s">
        <v>161</v>
      </c>
      <c r="D270" s="837"/>
      <c r="E270" s="721"/>
      <c r="F270" s="808" t="str">
        <f>INDEX(PT_DIFFERENTIATION_VTAR,MATCH(A270,PT_DIFFERENTIATION_VTAR_ID,0))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70" s="808" t="str">
        <f>INDEX(PT_DIFFERENTIATION_NTAR,MATCH(B270,PT_DIFFERENTIATION_NTAR_ID,0))</f>
        <v/>
      </c>
      <c r="H270" s="371"/>
      <c r="I270" s="549"/>
      <c r="J270" s="567"/>
      <c r="K270" s="204"/>
      <c r="L270" s="371" t="s">
        <v>309</v>
      </c>
      <c r="M270" s="673"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70" s="115"/>
      <c r="O270" s="46"/>
      <c r="P270" s="46"/>
      <c r="AH270" s="4">
        <v>0</v>
      </c>
    </row>
    <row r="271" spans="1:34" s="4" customFormat="1" ht="18.75" hidden="1" customHeight="1">
      <c r="C271" s="4" t="s">
        <v>1150</v>
      </c>
      <c r="D271" s="837"/>
      <c r="E271" s="721"/>
      <c r="F271" s="808"/>
      <c r="G271" s="808"/>
      <c r="H271" s="130"/>
      <c r="I271" s="37" t="s">
        <v>1149</v>
      </c>
      <c r="J271" s="37"/>
      <c r="K271" s="130"/>
      <c r="L271" s="68"/>
      <c r="M271" s="705"/>
      <c r="N271" s="115"/>
      <c r="O271" s="46"/>
      <c r="P271" s="46"/>
      <c r="AH271" s="4">
        <v>0</v>
      </c>
    </row>
    <row r="272" spans="1:34" s="4" customFormat="1" ht="0.75" hidden="1" customHeight="1">
      <c r="C272" s="4" t="s">
        <v>1157</v>
      </c>
      <c r="D272" s="837"/>
      <c r="E272" s="721"/>
      <c r="F272" s="808"/>
      <c r="G272" s="130"/>
      <c r="H272" s="130"/>
      <c r="I272" s="37"/>
      <c r="J272" s="37"/>
      <c r="K272" s="130"/>
      <c r="L272" s="68"/>
      <c r="M272" s="705"/>
      <c r="N272" s="115"/>
      <c r="O272" s="46"/>
      <c r="P272" s="46"/>
      <c r="AH272" s="4">
        <v>0</v>
      </c>
    </row>
    <row r="273" spans="1:34" s="4" customFormat="1" ht="45" hidden="1" customHeight="1">
      <c r="A273" s="4" t="s">
        <v>165</v>
      </c>
      <c r="B273" s="4" t="s">
        <v>166</v>
      </c>
      <c r="D273" s="837"/>
      <c r="E273" s="721"/>
      <c r="F273" s="808" t="str">
        <f>INDEX(PT_DIFFERENTIATION_VTAR,MATCH(A273,PT_DIFFERENTIATION_VTAR_ID,0))</f>
        <v/>
      </c>
      <c r="G273" s="808" t="str">
        <f>INDEX(PT_DIFFERENTIATION_NTAR,MATCH(B273,PT_DIFFERENTIATION_NTAR_ID,0))</f>
        <v/>
      </c>
      <c r="H273" s="371"/>
      <c r="I273" s="549"/>
      <c r="J273" s="567"/>
      <c r="K273" s="204"/>
      <c r="L273" s="371" t="s">
        <v>309</v>
      </c>
      <c r="M273" s="676"/>
      <c r="N273" s="115"/>
      <c r="O273" s="46"/>
      <c r="P273" s="46"/>
      <c r="AH273" s="4">
        <v>0</v>
      </c>
    </row>
    <row r="274" spans="1:34" s="4" customFormat="1" ht="18.75" hidden="1" customHeight="1">
      <c r="C274" s="4" t="s">
        <v>1150</v>
      </c>
      <c r="D274" s="837"/>
      <c r="E274" s="721"/>
      <c r="F274" s="808"/>
      <c r="G274" s="808"/>
      <c r="H274" s="130"/>
      <c r="I274" s="37" t="s">
        <v>1149</v>
      </c>
      <c r="J274" s="37"/>
      <c r="K274" s="130"/>
      <c r="L274" s="68"/>
      <c r="M274" s="349"/>
      <c r="N274" s="115"/>
      <c r="O274" s="46"/>
      <c r="P274" s="46"/>
      <c r="AH274" s="4">
        <v>0</v>
      </c>
    </row>
    <row r="275" spans="1:34" s="4" customFormat="1" ht="0.75" hidden="1" customHeight="1">
      <c r="C275" s="4" t="s">
        <v>1157</v>
      </c>
      <c r="D275" s="837"/>
      <c r="E275" s="721"/>
      <c r="F275" s="808"/>
      <c r="G275" s="130"/>
      <c r="H275" s="130"/>
      <c r="I275" s="37"/>
      <c r="J275" s="37"/>
      <c r="K275" s="130"/>
      <c r="L275" s="68"/>
      <c r="M275" s="100"/>
      <c r="N275" s="115"/>
      <c r="O275" s="46"/>
      <c r="P275" s="46"/>
      <c r="AH275" s="4">
        <v>0</v>
      </c>
    </row>
    <row r="276" spans="1:34" s="4" customFormat="1" ht="45" hidden="1" customHeight="1">
      <c r="A276" s="4" t="s">
        <v>172</v>
      </c>
      <c r="B276" s="4" t="s">
        <v>173</v>
      </c>
      <c r="D276" s="837"/>
      <c r="E276" s="721"/>
      <c r="F276" s="808" t="str">
        <f>INDEX(PT_DIFFERENTIATION_VTAR,MATCH(A276,PT_DIFFERENTIATION_VTAR_ID,0))</f>
        <v>Тарифы на теплоноситель, поставляемый теплоснабжающими организациями потребителям, другим теплоснабжающим организациям</v>
      </c>
      <c r="G276" s="808" t="str">
        <f>INDEX(PT_DIFFERENTIATION_NTAR,MATCH(B276,PT_DIFFERENTIATION_NTAR_ID,0))</f>
        <v/>
      </c>
      <c r="H276" s="371"/>
      <c r="I276" s="549"/>
      <c r="J276" s="567"/>
      <c r="K276" s="204"/>
      <c r="L276" s="371" t="s">
        <v>309</v>
      </c>
      <c r="M276" s="100"/>
      <c r="N276" s="115"/>
      <c r="O276" s="46"/>
      <c r="P276" s="46"/>
      <c r="AH276" s="4">
        <v>0</v>
      </c>
    </row>
    <row r="277" spans="1:34" s="4" customFormat="1" ht="18.75" hidden="1" customHeight="1">
      <c r="C277" s="4" t="s">
        <v>1150</v>
      </c>
      <c r="D277" s="837"/>
      <c r="E277" s="721"/>
      <c r="F277" s="808"/>
      <c r="G277" s="808"/>
      <c r="H277" s="130"/>
      <c r="I277" s="37" t="s">
        <v>1149</v>
      </c>
      <c r="J277" s="37"/>
      <c r="K277" s="130"/>
      <c r="L277" s="68"/>
      <c r="M277" s="100"/>
      <c r="N277" s="115"/>
      <c r="O277" s="46"/>
      <c r="P277" s="46"/>
      <c r="AH277" s="4">
        <v>0</v>
      </c>
    </row>
    <row r="278" spans="1:34" s="4" customFormat="1" ht="0.75" hidden="1" customHeight="1">
      <c r="C278" s="4" t="s">
        <v>1157</v>
      </c>
      <c r="D278" s="837"/>
      <c r="E278" s="721"/>
      <c r="F278" s="808"/>
      <c r="G278" s="130"/>
      <c r="H278" s="130"/>
      <c r="I278" s="37"/>
      <c r="J278" s="37"/>
      <c r="K278" s="130"/>
      <c r="L278" s="68"/>
      <c r="M278" s="100"/>
      <c r="N278" s="115"/>
      <c r="O278" s="46"/>
      <c r="P278" s="46"/>
      <c r="AH278" s="4">
        <v>0</v>
      </c>
    </row>
    <row r="279" spans="1:34" s="4" customFormat="1" ht="45" hidden="1" customHeight="1">
      <c r="A279" s="4" t="s">
        <v>178</v>
      </c>
      <c r="B279" s="4" t="s">
        <v>179</v>
      </c>
      <c r="D279" s="837"/>
      <c r="E279" s="721"/>
      <c r="F279" s="808" t="str">
        <f>INDEX(PT_DIFFERENTIATION_VTAR,MATCH(A279,PT_DIFFERENTIATION_VTAR_ID,0))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79" s="808" t="str">
        <f>INDEX(PT_DIFFERENTIATION_NTAR,MATCH(B279,PT_DIFFERENTIATION_NTAR_ID,0))</f>
        <v/>
      </c>
      <c r="H279" s="371"/>
      <c r="I279" s="549"/>
      <c r="J279" s="567"/>
      <c r="K279" s="204"/>
      <c r="L279" s="371" t="s">
        <v>309</v>
      </c>
      <c r="M279" s="100"/>
      <c r="N279" s="115"/>
      <c r="O279" s="46"/>
      <c r="P279" s="46"/>
      <c r="AH279" s="4">
        <v>0</v>
      </c>
    </row>
    <row r="280" spans="1:34" s="4" customFormat="1" ht="18.75" hidden="1" customHeight="1">
      <c r="C280" s="4" t="s">
        <v>1150</v>
      </c>
      <c r="D280" s="837"/>
      <c r="E280" s="721"/>
      <c r="F280" s="808"/>
      <c r="G280" s="808"/>
      <c r="H280" s="130"/>
      <c r="I280" s="37" t="s">
        <v>1149</v>
      </c>
      <c r="J280" s="37"/>
      <c r="K280" s="130"/>
      <c r="L280" s="68"/>
      <c r="M280" s="100"/>
      <c r="N280" s="115"/>
      <c r="O280" s="46"/>
      <c r="P280" s="46"/>
      <c r="AH280" s="4">
        <v>0</v>
      </c>
    </row>
    <row r="281" spans="1:34" s="4" customFormat="1" ht="0.75" hidden="1" customHeight="1">
      <c r="C281" s="4" t="s">
        <v>1157</v>
      </c>
      <c r="D281" s="837"/>
      <c r="E281" s="721"/>
      <c r="F281" s="808"/>
      <c r="G281" s="130"/>
      <c r="H281" s="130"/>
      <c r="I281" s="37"/>
      <c r="J281" s="37"/>
      <c r="K281" s="130"/>
      <c r="L281" s="68"/>
      <c r="M281" s="100"/>
      <c r="N281" s="115"/>
      <c r="O281" s="46"/>
      <c r="P281" s="46"/>
      <c r="AH281" s="4">
        <v>0</v>
      </c>
    </row>
    <row r="282" spans="1:34" s="4" customFormat="1" ht="18.75" hidden="1" customHeight="1">
      <c r="A282" s="4" t="s">
        <v>184</v>
      </c>
      <c r="B282" s="4" t="s">
        <v>185</v>
      </c>
      <c r="D282" s="837"/>
      <c r="E282" s="721"/>
      <c r="F282" s="808" t="str">
        <f>INDEX(PT_DIFFERENTIATION_VTAR,MATCH(A282,PT_DIFFERENTIATION_VTAR_ID,0))</f>
        <v>Тарифы на услуги по передаче тепловой энергии</v>
      </c>
      <c r="G282" s="808" t="str">
        <f>INDEX(PT_DIFFERENTIATION_NTAR,MATCH(B282,PT_DIFFERENTIATION_NTAR_ID,0))</f>
        <v/>
      </c>
      <c r="H282" s="371"/>
      <c r="I282" s="549"/>
      <c r="J282" s="567"/>
      <c r="K282" s="204"/>
      <c r="L282" s="371" t="s">
        <v>309</v>
      </c>
      <c r="M282" s="100"/>
      <c r="N282" s="115"/>
      <c r="O282" s="46"/>
      <c r="P282" s="46"/>
      <c r="AH282" s="4">
        <v>0</v>
      </c>
    </row>
    <row r="283" spans="1:34" s="4" customFormat="1" ht="18.75" hidden="1" customHeight="1">
      <c r="C283" s="4" t="s">
        <v>1150</v>
      </c>
      <c r="D283" s="837"/>
      <c r="E283" s="721"/>
      <c r="F283" s="808"/>
      <c r="G283" s="808"/>
      <c r="H283" s="130"/>
      <c r="I283" s="37" t="s">
        <v>1149</v>
      </c>
      <c r="J283" s="37"/>
      <c r="K283" s="130"/>
      <c r="L283" s="68"/>
      <c r="M283" s="100"/>
      <c r="N283" s="115"/>
      <c r="O283" s="46"/>
      <c r="P283" s="46"/>
      <c r="AH283" s="4">
        <v>0</v>
      </c>
    </row>
    <row r="284" spans="1:34" s="4" customFormat="1" ht="0.75" hidden="1" customHeight="1">
      <c r="C284" s="4" t="s">
        <v>1157</v>
      </c>
      <c r="D284" s="837"/>
      <c r="E284" s="721"/>
      <c r="F284" s="808"/>
      <c r="G284" s="130"/>
      <c r="H284" s="130"/>
      <c r="I284" s="37"/>
      <c r="J284" s="37"/>
      <c r="K284" s="130"/>
      <c r="L284" s="68"/>
      <c r="M284" s="100"/>
      <c r="N284" s="115"/>
      <c r="O284" s="46"/>
      <c r="P284" s="46"/>
      <c r="AH284" s="4">
        <v>0</v>
      </c>
    </row>
    <row r="285" spans="1:34" s="4" customFormat="1" ht="18.75" hidden="1" customHeight="1">
      <c r="A285" s="4" t="s">
        <v>190</v>
      </c>
      <c r="B285" s="4" t="s">
        <v>191</v>
      </c>
      <c r="D285" s="837"/>
      <c r="E285" s="721"/>
      <c r="F285" s="808" t="str">
        <f>INDEX(PT_DIFFERENTIATION_VTAR,MATCH(A285,PT_DIFFERENTIATION_VTAR_ID,0))</f>
        <v>Тарифы на услуги по передаче теплоносителя</v>
      </c>
      <c r="G285" s="808" t="str">
        <f>INDEX(PT_DIFFERENTIATION_NTAR,MATCH(B285,PT_DIFFERENTIATION_NTAR_ID,0))</f>
        <v/>
      </c>
      <c r="H285" s="371"/>
      <c r="I285" s="549"/>
      <c r="J285" s="567"/>
      <c r="K285" s="204"/>
      <c r="L285" s="371" t="s">
        <v>309</v>
      </c>
      <c r="M285" s="100"/>
      <c r="N285" s="115"/>
      <c r="O285" s="46"/>
      <c r="P285" s="46"/>
      <c r="AH285" s="4">
        <v>0</v>
      </c>
    </row>
    <row r="286" spans="1:34" s="4" customFormat="1" ht="18.75" hidden="1" customHeight="1">
      <c r="C286" s="4" t="s">
        <v>1150</v>
      </c>
      <c r="D286" s="837"/>
      <c r="E286" s="721"/>
      <c r="F286" s="808"/>
      <c r="G286" s="808"/>
      <c r="H286" s="130"/>
      <c r="I286" s="37" t="s">
        <v>1149</v>
      </c>
      <c r="J286" s="37"/>
      <c r="K286" s="130"/>
      <c r="L286" s="68"/>
      <c r="M286" s="100"/>
      <c r="N286" s="115"/>
      <c r="O286" s="46"/>
      <c r="P286" s="46"/>
      <c r="AH286" s="4">
        <v>0</v>
      </c>
    </row>
    <row r="287" spans="1:34" s="4" customFormat="1" ht="0.75" hidden="1" customHeight="1">
      <c r="C287" s="4" t="s">
        <v>1157</v>
      </c>
      <c r="D287" s="837"/>
      <c r="E287" s="721"/>
      <c r="F287" s="808"/>
      <c r="G287" s="130"/>
      <c r="H287" s="130"/>
      <c r="I287" s="37"/>
      <c r="J287" s="37"/>
      <c r="K287" s="130"/>
      <c r="L287" s="68"/>
      <c r="M287" s="100"/>
      <c r="N287" s="115"/>
      <c r="O287" s="46"/>
      <c r="P287" s="46"/>
      <c r="AH287" s="4">
        <v>0</v>
      </c>
    </row>
    <row r="288" spans="1:34" s="4" customFormat="1" ht="18.75" hidden="1" customHeight="1">
      <c r="A288" s="4" t="s">
        <v>196</v>
      </c>
      <c r="B288" s="4" t="s">
        <v>197</v>
      </c>
      <c r="D288" s="837"/>
      <c r="E288" s="721"/>
      <c r="F288" s="808" t="str">
        <f>INDEX(PT_DIFFERENTIATION_VTAR,MATCH(A288,PT_DIFFERENTIATION_VTAR_ID,0))</f>
        <v>Плата за услуги по поддержанию резервной тепловой мощности при отсутствии потребления тепловой энергии</v>
      </c>
      <c r="G288" s="808" t="str">
        <f>INDEX(PT_DIFFERENTIATION_NTAR,MATCH(B288,PT_DIFFERENTIATION_NTAR_ID,0))</f>
        <v/>
      </c>
      <c r="H288" s="371"/>
      <c r="I288" s="549"/>
      <c r="J288" s="567"/>
      <c r="K288" s="204"/>
      <c r="L288" s="371" t="s">
        <v>309</v>
      </c>
      <c r="M288" s="100"/>
      <c r="N288" s="115"/>
      <c r="O288" s="46"/>
      <c r="P288" s="46"/>
      <c r="AH288" s="4">
        <v>0</v>
      </c>
    </row>
    <row r="289" spans="1:34" s="4" customFormat="1" ht="18.75" hidden="1" customHeight="1">
      <c r="C289" s="4" t="s">
        <v>1150</v>
      </c>
      <c r="D289" s="837"/>
      <c r="E289" s="721"/>
      <c r="F289" s="808"/>
      <c r="G289" s="808"/>
      <c r="H289" s="130"/>
      <c r="I289" s="37" t="s">
        <v>1149</v>
      </c>
      <c r="J289" s="37"/>
      <c r="K289" s="130"/>
      <c r="L289" s="68"/>
      <c r="M289" s="100"/>
      <c r="N289" s="115"/>
      <c r="O289" s="46"/>
      <c r="P289" s="46"/>
      <c r="AH289" s="4">
        <v>0</v>
      </c>
    </row>
    <row r="290" spans="1:34" s="4" customFormat="1" ht="0.75" hidden="1" customHeight="1">
      <c r="C290" s="4" t="s">
        <v>1157</v>
      </c>
      <c r="D290" s="837"/>
      <c r="E290" s="721"/>
      <c r="F290" s="808"/>
      <c r="G290" s="130"/>
      <c r="H290" s="130"/>
      <c r="I290" s="37"/>
      <c r="J290" s="37"/>
      <c r="K290" s="130"/>
      <c r="L290" s="68"/>
      <c r="M290" s="100"/>
      <c r="N290" s="115"/>
      <c r="O290" s="46"/>
      <c r="P290" s="46"/>
      <c r="AH290" s="4">
        <v>0</v>
      </c>
    </row>
    <row r="291" spans="1:34" s="4" customFormat="1" ht="18.75" hidden="1" customHeight="1">
      <c r="A291" s="4" t="s">
        <v>202</v>
      </c>
      <c r="B291" s="4" t="s">
        <v>203</v>
      </c>
      <c r="D291" s="837"/>
      <c r="E291" s="721"/>
      <c r="F291" s="808" t="str">
        <f>INDEX(PT_DIFFERENTIATION_VTAR,MATCH(A291,PT_DIFFERENTIATION_VTAR_ID,0))</f>
        <v>Плата за подключение (технологическое присоединение) к системе теплоснабжения</v>
      </c>
      <c r="G291" s="808" t="str">
        <f>INDEX(PT_DIFFERENTIATION_NTAR,MATCH(B291,PT_DIFFERENTIATION_NTAR_ID,0))</f>
        <v/>
      </c>
      <c r="H291" s="371"/>
      <c r="I291" s="549"/>
      <c r="J291" s="567"/>
      <c r="K291" s="204"/>
      <c r="L291" s="371" t="s">
        <v>309</v>
      </c>
      <c r="M291" s="100"/>
      <c r="N291" s="115"/>
      <c r="O291" s="46"/>
      <c r="P291" s="46"/>
      <c r="AH291" s="4">
        <v>0</v>
      </c>
    </row>
    <row r="292" spans="1:34" s="4" customFormat="1" ht="18.75" hidden="1" customHeight="1">
      <c r="C292" s="4" t="s">
        <v>1150</v>
      </c>
      <c r="D292" s="837"/>
      <c r="E292" s="721"/>
      <c r="F292" s="808"/>
      <c r="G292" s="808"/>
      <c r="H292" s="130"/>
      <c r="I292" s="37" t="s">
        <v>1149</v>
      </c>
      <c r="J292" s="37"/>
      <c r="K292" s="130"/>
      <c r="L292" s="68"/>
      <c r="M292" s="100"/>
      <c r="N292" s="115"/>
      <c r="O292" s="46"/>
      <c r="P292" s="46"/>
      <c r="AH292" s="4">
        <v>0</v>
      </c>
    </row>
    <row r="293" spans="1:34" s="4" customFormat="1" ht="0.75" hidden="1" customHeight="1">
      <c r="C293" s="4" t="s">
        <v>1157</v>
      </c>
      <c r="D293" s="837"/>
      <c r="E293" s="721"/>
      <c r="F293" s="808"/>
      <c r="G293" s="130"/>
      <c r="H293" s="130"/>
      <c r="I293" s="37"/>
      <c r="J293" s="37"/>
      <c r="K293" s="130"/>
      <c r="L293" s="68"/>
      <c r="M293" s="100"/>
      <c r="N293" s="115"/>
      <c r="O293" s="46"/>
      <c r="P293" s="46"/>
      <c r="AH293" s="4">
        <v>0</v>
      </c>
    </row>
    <row r="294" spans="1:34" s="4" customFormat="1" ht="18.75" hidden="1" customHeight="1">
      <c r="A294" s="4" t="s">
        <v>208</v>
      </c>
      <c r="B294" s="4" t="s">
        <v>209</v>
      </c>
      <c r="D294" s="837"/>
      <c r="E294" s="721"/>
      <c r="F294" s="808" t="str">
        <f>INDEX(PT_DIFFERENTIATION_VTAR,MATCH(A294,PT_DIFFERENTIATION_VTAR_ID,0))</f>
        <v>Плата за подключение (технологическое присоединение) к системе теплоснабжения (индивидуальная)</v>
      </c>
      <c r="G294" s="808" t="str">
        <f>INDEX(PT_DIFFERENTIATION_NTAR,MATCH(B294,PT_DIFFERENTIATION_NTAR_ID,0))</f>
        <v/>
      </c>
      <c r="H294" s="371"/>
      <c r="I294" s="549"/>
      <c r="J294" s="567"/>
      <c r="K294" s="204"/>
      <c r="L294" s="371" t="s">
        <v>309</v>
      </c>
      <c r="M294" s="100"/>
      <c r="N294" s="115"/>
      <c r="O294" s="46"/>
      <c r="P294" s="46"/>
      <c r="AH294" s="4">
        <v>0</v>
      </c>
    </row>
    <row r="295" spans="1:34" s="4" customFormat="1" ht="18.75" hidden="1" customHeight="1">
      <c r="C295" s="4" t="s">
        <v>1150</v>
      </c>
      <c r="D295" s="837"/>
      <c r="E295" s="721"/>
      <c r="F295" s="808"/>
      <c r="G295" s="808"/>
      <c r="H295" s="130"/>
      <c r="I295" s="37" t="s">
        <v>1149</v>
      </c>
      <c r="J295" s="37"/>
      <c r="K295" s="130"/>
      <c r="L295" s="68"/>
      <c r="M295" s="100"/>
      <c r="N295" s="115"/>
      <c r="O295" s="46"/>
      <c r="P295" s="46"/>
      <c r="AH295" s="4">
        <v>0</v>
      </c>
    </row>
    <row r="296" spans="1:34" s="4" customFormat="1" ht="0.75" hidden="1" customHeight="1">
      <c r="C296" s="4" t="s">
        <v>1157</v>
      </c>
      <c r="D296" s="837"/>
      <c r="E296" s="721"/>
      <c r="F296" s="808"/>
      <c r="G296" s="130"/>
      <c r="H296" s="130"/>
      <c r="I296" s="37"/>
      <c r="J296" s="37"/>
      <c r="K296" s="130"/>
      <c r="L296" s="68"/>
      <c r="M296" s="100"/>
      <c r="N296" s="115"/>
      <c r="O296" s="46"/>
      <c r="P296" s="46"/>
      <c r="AH296" s="4">
        <v>0</v>
      </c>
    </row>
    <row r="297" spans="1:34" s="4" customFormat="1" ht="18.75" hidden="1" customHeight="1">
      <c r="A297" s="4" t="s">
        <v>228</v>
      </c>
      <c r="B297" s="4" t="s">
        <v>229</v>
      </c>
      <c r="D297" s="837"/>
      <c r="E297" s="721"/>
      <c r="F297" s="808" t="str">
        <f>INDEX(PT_DIFFERENTIATION_VTAR,MATCH(A297,PT_DIFFERENTIATION_VTAR_ID,0))</f>
        <v>Тариф на питьевую воду (питьевое водоснабжение)</v>
      </c>
      <c r="G297" s="808" t="str">
        <f>INDEX(PT_DIFFERENTIATION_NTAR,MATCH(B297,PT_DIFFERENTIATION_NTAR_ID,0))</f>
        <v/>
      </c>
      <c r="H297" s="371"/>
      <c r="I297" s="549"/>
      <c r="J297" s="567"/>
      <c r="K297" s="204"/>
      <c r="L297" s="371" t="s">
        <v>309</v>
      </c>
      <c r="M297" s="100"/>
      <c r="N297" s="115"/>
      <c r="O297" s="46"/>
      <c r="P297" s="46"/>
      <c r="AH297" s="4">
        <v>0</v>
      </c>
    </row>
    <row r="298" spans="1:34" s="4" customFormat="1" ht="18.75" hidden="1" customHeight="1">
      <c r="C298" s="4" t="s">
        <v>1150</v>
      </c>
      <c r="D298" s="837"/>
      <c r="E298" s="721"/>
      <c r="F298" s="808"/>
      <c r="G298" s="808"/>
      <c r="H298" s="130"/>
      <c r="I298" s="37" t="s">
        <v>1149</v>
      </c>
      <c r="J298" s="37"/>
      <c r="K298" s="130"/>
      <c r="L298" s="68"/>
      <c r="M298" s="100"/>
      <c r="N298" s="115"/>
      <c r="O298" s="46"/>
      <c r="P298" s="46"/>
      <c r="AH298" s="4">
        <v>0</v>
      </c>
    </row>
    <row r="299" spans="1:34" s="4" customFormat="1" ht="0.75" hidden="1" customHeight="1">
      <c r="C299" s="4" t="s">
        <v>1157</v>
      </c>
      <c r="D299" s="837"/>
      <c r="E299" s="721"/>
      <c r="F299" s="808"/>
      <c r="G299" s="130"/>
      <c r="H299" s="130"/>
      <c r="I299" s="37"/>
      <c r="J299" s="37"/>
      <c r="K299" s="130"/>
      <c r="L299" s="68"/>
      <c r="M299" s="100"/>
      <c r="N299" s="115"/>
      <c r="O299" s="46"/>
      <c r="P299" s="46"/>
      <c r="AH299" s="4">
        <v>0</v>
      </c>
    </row>
    <row r="300" spans="1:34" s="4" customFormat="1" ht="18.75" hidden="1" customHeight="1">
      <c r="A300" s="4" t="s">
        <v>233</v>
      </c>
      <c r="B300" s="4" t="s">
        <v>234</v>
      </c>
      <c r="D300" s="837"/>
      <c r="E300" s="721"/>
      <c r="F300" s="808" t="str">
        <f>INDEX(PT_DIFFERENTIATION_VTAR,MATCH(A300,PT_DIFFERENTIATION_VTAR_ID,0))</f>
        <v>Тариф на техническую воду</v>
      </c>
      <c r="G300" s="808" t="str">
        <f>INDEX(PT_DIFFERENTIATION_NTAR,MATCH(B300,PT_DIFFERENTIATION_NTAR_ID,0))</f>
        <v/>
      </c>
      <c r="H300" s="371"/>
      <c r="I300" s="549"/>
      <c r="J300" s="567"/>
      <c r="K300" s="204"/>
      <c r="L300" s="371" t="s">
        <v>309</v>
      </c>
      <c r="M300" s="100"/>
      <c r="N300" s="115"/>
      <c r="O300" s="46"/>
      <c r="P300" s="46"/>
      <c r="AH300" s="4">
        <v>0</v>
      </c>
    </row>
    <row r="301" spans="1:34" s="4" customFormat="1" ht="18.75" hidden="1" customHeight="1">
      <c r="C301" s="4" t="s">
        <v>1150</v>
      </c>
      <c r="D301" s="837"/>
      <c r="E301" s="721"/>
      <c r="F301" s="808"/>
      <c r="G301" s="808"/>
      <c r="H301" s="130"/>
      <c r="I301" s="37" t="s">
        <v>1149</v>
      </c>
      <c r="J301" s="37"/>
      <c r="K301" s="130"/>
      <c r="L301" s="68"/>
      <c r="M301" s="100"/>
      <c r="N301" s="115"/>
      <c r="O301" s="46"/>
      <c r="P301" s="46"/>
      <c r="AH301" s="4">
        <v>0</v>
      </c>
    </row>
    <row r="302" spans="1:34" s="4" customFormat="1" ht="0.75" hidden="1" customHeight="1">
      <c r="C302" s="4" t="s">
        <v>1157</v>
      </c>
      <c r="D302" s="837"/>
      <c r="E302" s="721"/>
      <c r="F302" s="808"/>
      <c r="G302" s="130"/>
      <c r="H302" s="130"/>
      <c r="I302" s="37"/>
      <c r="J302" s="37"/>
      <c r="K302" s="130"/>
      <c r="L302" s="68"/>
      <c r="M302" s="100"/>
      <c r="N302" s="115"/>
      <c r="O302" s="46"/>
      <c r="P302" s="46"/>
      <c r="AH302" s="4">
        <v>0</v>
      </c>
    </row>
    <row r="303" spans="1:34" s="4" customFormat="1" ht="18.75" hidden="1" customHeight="1">
      <c r="A303" s="4" t="s">
        <v>238</v>
      </c>
      <c r="B303" s="4" t="s">
        <v>239</v>
      </c>
      <c r="D303" s="837"/>
      <c r="E303" s="721"/>
      <c r="F303" s="808" t="str">
        <f>INDEX(PT_DIFFERENTIATION_VTAR,MATCH(A303,PT_DIFFERENTIATION_VTAR_ID,0))</f>
        <v>Тариф на транспортировку воды</v>
      </c>
      <c r="G303" s="808" t="str">
        <f>INDEX(PT_DIFFERENTIATION_NTAR,MATCH(B303,PT_DIFFERENTIATION_NTAR_ID,0))</f>
        <v/>
      </c>
      <c r="H303" s="371"/>
      <c r="I303" s="549"/>
      <c r="J303" s="567"/>
      <c r="K303" s="204"/>
      <c r="L303" s="371" t="s">
        <v>309</v>
      </c>
      <c r="M303" s="100"/>
      <c r="N303" s="115"/>
      <c r="O303" s="46"/>
      <c r="P303" s="46"/>
      <c r="AH303" s="4">
        <v>0</v>
      </c>
    </row>
    <row r="304" spans="1:34" s="4" customFormat="1" ht="18.75" hidden="1" customHeight="1">
      <c r="C304" s="4" t="s">
        <v>1150</v>
      </c>
      <c r="D304" s="837"/>
      <c r="E304" s="721"/>
      <c r="F304" s="808"/>
      <c r="G304" s="808"/>
      <c r="H304" s="130"/>
      <c r="I304" s="37" t="s">
        <v>1149</v>
      </c>
      <c r="J304" s="37"/>
      <c r="K304" s="130"/>
      <c r="L304" s="68"/>
      <c r="M304" s="100"/>
      <c r="N304" s="115"/>
      <c r="O304" s="46"/>
      <c r="P304" s="46"/>
      <c r="AH304" s="4">
        <v>0</v>
      </c>
    </row>
    <row r="305" spans="1:34" s="4" customFormat="1" ht="0.75" hidden="1" customHeight="1">
      <c r="C305" s="4" t="s">
        <v>1157</v>
      </c>
      <c r="D305" s="837"/>
      <c r="E305" s="721"/>
      <c r="F305" s="808"/>
      <c r="G305" s="130"/>
      <c r="H305" s="130"/>
      <c r="I305" s="37"/>
      <c r="J305" s="37"/>
      <c r="K305" s="130"/>
      <c r="L305" s="68"/>
      <c r="M305" s="100"/>
      <c r="N305" s="115"/>
      <c r="O305" s="46"/>
      <c r="P305" s="46"/>
      <c r="AH305" s="4">
        <v>0</v>
      </c>
    </row>
    <row r="306" spans="1:34" s="4" customFormat="1" ht="18.75" hidden="1" customHeight="1">
      <c r="A306" s="4" t="s">
        <v>243</v>
      </c>
      <c r="B306" s="4" t="s">
        <v>244</v>
      </c>
      <c r="D306" s="837"/>
      <c r="E306" s="721"/>
      <c r="F306" s="808" t="str">
        <f>INDEX(PT_DIFFERENTIATION_VTAR,MATCH(A306,PT_DIFFERENTIATION_VTAR_ID,0))</f>
        <v>Тариф на подвоз воды</v>
      </c>
      <c r="G306" s="808" t="str">
        <f>INDEX(PT_DIFFERENTIATION_NTAR,MATCH(B306,PT_DIFFERENTIATION_NTAR_ID,0))</f>
        <v/>
      </c>
      <c r="H306" s="371"/>
      <c r="I306" s="549"/>
      <c r="J306" s="567"/>
      <c r="K306" s="204"/>
      <c r="L306" s="371" t="s">
        <v>309</v>
      </c>
      <c r="M306" s="100"/>
      <c r="N306" s="115"/>
      <c r="O306" s="46"/>
      <c r="P306" s="46"/>
      <c r="AH306" s="4">
        <v>0</v>
      </c>
    </row>
    <row r="307" spans="1:34" s="4" customFormat="1" ht="18.75" hidden="1" customHeight="1">
      <c r="C307" s="4" t="s">
        <v>1150</v>
      </c>
      <c r="D307" s="837"/>
      <c r="E307" s="721"/>
      <c r="F307" s="808"/>
      <c r="G307" s="808"/>
      <c r="H307" s="130"/>
      <c r="I307" s="37" t="s">
        <v>1149</v>
      </c>
      <c r="J307" s="37"/>
      <c r="K307" s="130"/>
      <c r="L307" s="68"/>
      <c r="M307" s="100"/>
      <c r="N307" s="115"/>
      <c r="O307" s="46"/>
      <c r="P307" s="46"/>
      <c r="AH307" s="4">
        <v>0</v>
      </c>
    </row>
    <row r="308" spans="1:34" s="4" customFormat="1" ht="0.75" hidden="1" customHeight="1">
      <c r="C308" s="4" t="s">
        <v>1157</v>
      </c>
      <c r="D308" s="837"/>
      <c r="E308" s="721"/>
      <c r="F308" s="808"/>
      <c r="G308" s="130"/>
      <c r="H308" s="130"/>
      <c r="I308" s="37"/>
      <c r="J308" s="37"/>
      <c r="K308" s="130"/>
      <c r="L308" s="68"/>
      <c r="M308" s="100"/>
      <c r="N308" s="115"/>
      <c r="O308" s="46"/>
      <c r="P308" s="46"/>
      <c r="AH308" s="4">
        <v>0</v>
      </c>
    </row>
    <row r="309" spans="1:34" s="4" customFormat="1" ht="18.75" hidden="1" customHeight="1">
      <c r="A309" s="4" t="s">
        <v>248</v>
      </c>
      <c r="B309" s="4" t="s">
        <v>249</v>
      </c>
      <c r="D309" s="837"/>
      <c r="E309" s="721"/>
      <c r="F309" s="808" t="str">
        <f>INDEX(PT_DIFFERENTIATION_VTAR,MATCH(A309,PT_DIFFERENTIATION_VTAR_ID,0))</f>
        <v>Тариф на подключение (технологическое присоединение) к централизованной системе холодного водоснабжения</v>
      </c>
      <c r="G309" s="808" t="str">
        <f>INDEX(PT_DIFFERENTIATION_NTAR,MATCH(B309,PT_DIFFERENTIATION_NTAR_ID,0))</f>
        <v/>
      </c>
      <c r="H309" s="371"/>
      <c r="I309" s="549"/>
      <c r="J309" s="567"/>
      <c r="K309" s="204"/>
      <c r="L309" s="371" t="s">
        <v>309</v>
      </c>
      <c r="M309" s="100"/>
      <c r="N309" s="115"/>
      <c r="O309" s="46"/>
      <c r="P309" s="46"/>
      <c r="AH309" s="4">
        <v>0</v>
      </c>
    </row>
    <row r="310" spans="1:34" s="4" customFormat="1" ht="18.75" hidden="1" customHeight="1">
      <c r="C310" s="4" t="s">
        <v>1150</v>
      </c>
      <c r="D310" s="837"/>
      <c r="E310" s="721"/>
      <c r="F310" s="808"/>
      <c r="G310" s="808"/>
      <c r="H310" s="130"/>
      <c r="I310" s="37" t="s">
        <v>1149</v>
      </c>
      <c r="J310" s="37"/>
      <c r="K310" s="130"/>
      <c r="L310" s="68"/>
      <c r="M310" s="100"/>
      <c r="N310" s="115"/>
      <c r="O310" s="46"/>
      <c r="P310" s="46"/>
      <c r="AH310" s="4">
        <v>0</v>
      </c>
    </row>
    <row r="311" spans="1:34" s="4" customFormat="1" ht="0.75" hidden="1" customHeight="1">
      <c r="C311" s="4" t="s">
        <v>1157</v>
      </c>
      <c r="D311" s="837"/>
      <c r="E311" s="721"/>
      <c r="F311" s="808"/>
      <c r="G311" s="130"/>
      <c r="H311" s="130"/>
      <c r="I311" s="37"/>
      <c r="J311" s="37"/>
      <c r="K311" s="130"/>
      <c r="L311" s="68"/>
      <c r="M311" s="100"/>
      <c r="N311" s="115"/>
      <c r="O311" s="46"/>
      <c r="P311" s="46"/>
      <c r="AH311" s="4">
        <v>0</v>
      </c>
    </row>
    <row r="312" spans="1:34" s="4" customFormat="1" ht="18.75" hidden="1" customHeight="1">
      <c r="A312" s="4" t="s">
        <v>253</v>
      </c>
      <c r="B312" s="4" t="s">
        <v>254</v>
      </c>
      <c r="D312" s="837"/>
      <c r="E312" s="721"/>
      <c r="F312" s="808" t="str">
        <f>INDEX(PT_DIFFERENTIATION_VTAR,MATCH(A312,PT_DIFFERENTIATION_VTAR_ID,0))</f>
        <v>Тариф на горячую воду (горячее водоснабжение)</v>
      </c>
      <c r="G312" s="808" t="str">
        <f>INDEX(PT_DIFFERENTIATION_NTAR,MATCH(B312,PT_DIFFERENTIATION_NTAR_ID,0))</f>
        <v/>
      </c>
      <c r="H312" s="371"/>
      <c r="I312" s="549"/>
      <c r="J312" s="567"/>
      <c r="K312" s="204"/>
      <c r="L312" s="371" t="s">
        <v>309</v>
      </c>
      <c r="M312" s="100"/>
      <c r="N312" s="115"/>
      <c r="O312" s="46"/>
      <c r="P312" s="46"/>
      <c r="AH312" s="4">
        <v>0</v>
      </c>
    </row>
    <row r="313" spans="1:34" s="4" customFormat="1" ht="18.75" hidden="1" customHeight="1">
      <c r="C313" s="4" t="s">
        <v>1150</v>
      </c>
      <c r="D313" s="837"/>
      <c r="E313" s="721"/>
      <c r="F313" s="808"/>
      <c r="G313" s="808"/>
      <c r="H313" s="130"/>
      <c r="I313" s="37" t="s">
        <v>1149</v>
      </c>
      <c r="J313" s="37"/>
      <c r="K313" s="130"/>
      <c r="L313" s="68"/>
      <c r="M313" s="100"/>
      <c r="N313" s="115"/>
      <c r="O313" s="46"/>
      <c r="P313" s="46"/>
      <c r="AH313" s="4">
        <v>0</v>
      </c>
    </row>
    <row r="314" spans="1:34" s="4" customFormat="1" ht="0.75" hidden="1" customHeight="1">
      <c r="C314" s="4" t="s">
        <v>1157</v>
      </c>
      <c r="D314" s="837"/>
      <c r="E314" s="721"/>
      <c r="F314" s="808"/>
      <c r="G314" s="130"/>
      <c r="H314" s="130"/>
      <c r="I314" s="37"/>
      <c r="J314" s="37"/>
      <c r="K314" s="130"/>
      <c r="L314" s="68"/>
      <c r="M314" s="100"/>
      <c r="N314" s="115"/>
      <c r="O314" s="46"/>
      <c r="P314" s="46"/>
      <c r="AH314" s="4">
        <v>0</v>
      </c>
    </row>
    <row r="315" spans="1:34" s="4" customFormat="1" ht="18.75" hidden="1" customHeight="1">
      <c r="A315" s="4" t="s">
        <v>258</v>
      </c>
      <c r="B315" s="4" t="s">
        <v>259</v>
      </c>
      <c r="D315" s="837"/>
      <c r="E315" s="721"/>
      <c r="F315" s="808" t="str">
        <f>INDEX(PT_DIFFERENTIATION_VTAR,MATCH(A315,PT_DIFFERENTIATION_VTAR_ID,0))</f>
        <v>Тариф на транспортировку горячей воды</v>
      </c>
      <c r="G315" s="808" t="str">
        <f>INDEX(PT_DIFFERENTIATION_NTAR,MATCH(B315,PT_DIFFERENTIATION_NTAR_ID,0))</f>
        <v/>
      </c>
      <c r="H315" s="371"/>
      <c r="I315" s="549"/>
      <c r="J315" s="567"/>
      <c r="K315" s="204"/>
      <c r="L315" s="371" t="s">
        <v>309</v>
      </c>
      <c r="M315" s="100"/>
      <c r="N315" s="115"/>
      <c r="O315" s="46"/>
      <c r="P315" s="46"/>
      <c r="AH315" s="4">
        <v>0</v>
      </c>
    </row>
    <row r="316" spans="1:34" s="4" customFormat="1" ht="18.75" hidden="1" customHeight="1">
      <c r="C316" s="4" t="s">
        <v>1150</v>
      </c>
      <c r="D316" s="837"/>
      <c r="E316" s="721"/>
      <c r="F316" s="808"/>
      <c r="G316" s="808"/>
      <c r="H316" s="130"/>
      <c r="I316" s="37" t="s">
        <v>1149</v>
      </c>
      <c r="J316" s="37"/>
      <c r="K316" s="130"/>
      <c r="L316" s="68"/>
      <c r="M316" s="100"/>
      <c r="N316" s="115"/>
      <c r="O316" s="46"/>
      <c r="P316" s="46"/>
      <c r="AH316" s="4">
        <v>0</v>
      </c>
    </row>
    <row r="317" spans="1:34" s="4" customFormat="1" ht="0.75" hidden="1" customHeight="1">
      <c r="C317" s="4" t="s">
        <v>1157</v>
      </c>
      <c r="D317" s="837"/>
      <c r="E317" s="721"/>
      <c r="F317" s="808"/>
      <c r="G317" s="130"/>
      <c r="H317" s="130"/>
      <c r="I317" s="37"/>
      <c r="J317" s="37"/>
      <c r="K317" s="130"/>
      <c r="L317" s="68"/>
      <c r="M317" s="100"/>
      <c r="N317" s="115"/>
      <c r="O317" s="46"/>
      <c r="P317" s="46"/>
      <c r="AH317" s="4">
        <v>0</v>
      </c>
    </row>
    <row r="318" spans="1:34" s="4" customFormat="1" ht="18.75" hidden="1" customHeight="1">
      <c r="A318" s="4" t="s">
        <v>263</v>
      </c>
      <c r="B318" s="4" t="s">
        <v>264</v>
      </c>
      <c r="D318" s="837"/>
      <c r="E318" s="721"/>
      <c r="F318" s="808" t="str">
        <f>INDEX(PT_DIFFERENTIATION_VTAR,MATCH(A318,PT_DIFFERENTIATION_VTAR_ID,0))</f>
        <v>Тариф на подключение (технологическое присоединение) к централизованной системе горячего водоснабжения</v>
      </c>
      <c r="G318" s="808" t="str">
        <f>INDEX(PT_DIFFERENTIATION_NTAR,MATCH(B318,PT_DIFFERENTIATION_NTAR_ID,0))</f>
        <v/>
      </c>
      <c r="H318" s="371"/>
      <c r="I318" s="549"/>
      <c r="J318" s="567"/>
      <c r="K318" s="204"/>
      <c r="L318" s="371" t="s">
        <v>309</v>
      </c>
      <c r="M318" s="100"/>
      <c r="N318" s="115"/>
      <c r="O318" s="46"/>
      <c r="P318" s="46"/>
      <c r="AH318" s="4">
        <v>0</v>
      </c>
    </row>
    <row r="319" spans="1:34" s="4" customFormat="1" ht="18.75" hidden="1" customHeight="1">
      <c r="C319" s="4" t="s">
        <v>1150</v>
      </c>
      <c r="D319" s="837"/>
      <c r="E319" s="721"/>
      <c r="F319" s="808"/>
      <c r="G319" s="808"/>
      <c r="H319" s="130"/>
      <c r="I319" s="37" t="s">
        <v>1149</v>
      </c>
      <c r="J319" s="37"/>
      <c r="K319" s="130"/>
      <c r="L319" s="68"/>
      <c r="M319" s="100"/>
      <c r="N319" s="115"/>
      <c r="O319" s="46"/>
      <c r="P319" s="46"/>
      <c r="AH319" s="4">
        <v>0</v>
      </c>
    </row>
    <row r="320" spans="1:34" s="4" customFormat="1" ht="0.75" hidden="1" customHeight="1">
      <c r="C320" s="4" t="s">
        <v>1157</v>
      </c>
      <c r="D320" s="837"/>
      <c r="E320" s="721"/>
      <c r="F320" s="808"/>
      <c r="G320" s="130"/>
      <c r="H320" s="130"/>
      <c r="I320" s="37"/>
      <c r="J320" s="37"/>
      <c r="K320" s="130"/>
      <c r="L320" s="68"/>
      <c r="M320" s="100"/>
      <c r="N320" s="115"/>
      <c r="O320" s="46"/>
      <c r="P320" s="46"/>
      <c r="AH320" s="4">
        <v>0</v>
      </c>
    </row>
    <row r="321" spans="1:34" s="4" customFormat="1" ht="18.75" hidden="1" customHeight="1">
      <c r="A321" s="4" t="s">
        <v>268</v>
      </c>
      <c r="B321" s="4" t="s">
        <v>269</v>
      </c>
      <c r="D321" s="837"/>
      <c r="E321" s="721"/>
      <c r="F321" s="808" t="str">
        <f>INDEX(PT_DIFFERENTIATION_VTAR,MATCH(A321,PT_DIFFERENTIATION_VTAR_ID,0))</f>
        <v>Тариф на водоотведение</v>
      </c>
      <c r="G321" s="808" t="str">
        <f>INDEX(PT_DIFFERENTIATION_NTAR,MATCH(B321,PT_DIFFERENTIATION_NTAR_ID,0))</f>
        <v/>
      </c>
      <c r="H321" s="371"/>
      <c r="I321" s="549"/>
      <c r="J321" s="567"/>
      <c r="K321" s="204"/>
      <c r="L321" s="371" t="s">
        <v>309</v>
      </c>
      <c r="M321" s="100"/>
      <c r="N321" s="115"/>
      <c r="O321" s="46"/>
      <c r="P321" s="46"/>
      <c r="AH321" s="4">
        <v>0</v>
      </c>
    </row>
    <row r="322" spans="1:34" s="4" customFormat="1" ht="18.75" hidden="1" customHeight="1">
      <c r="C322" s="4" t="s">
        <v>1150</v>
      </c>
      <c r="D322" s="837"/>
      <c r="E322" s="721"/>
      <c r="F322" s="808"/>
      <c r="G322" s="808"/>
      <c r="H322" s="130"/>
      <c r="I322" s="37" t="s">
        <v>1149</v>
      </c>
      <c r="J322" s="37"/>
      <c r="K322" s="130"/>
      <c r="L322" s="68"/>
      <c r="M322" s="100"/>
      <c r="N322" s="115"/>
      <c r="O322" s="46"/>
      <c r="P322" s="46"/>
      <c r="AH322" s="4">
        <v>0</v>
      </c>
    </row>
    <row r="323" spans="1:34" s="4" customFormat="1" ht="0.75" hidden="1" customHeight="1">
      <c r="C323" s="4" t="s">
        <v>1157</v>
      </c>
      <c r="D323" s="837"/>
      <c r="E323" s="721"/>
      <c r="F323" s="808"/>
      <c r="G323" s="130"/>
      <c r="H323" s="130"/>
      <c r="I323" s="37"/>
      <c r="J323" s="37"/>
      <c r="K323" s="130"/>
      <c r="L323" s="68"/>
      <c r="M323" s="100"/>
      <c r="N323" s="115"/>
      <c r="O323" s="46"/>
      <c r="P323" s="46"/>
      <c r="AH323" s="4">
        <v>0</v>
      </c>
    </row>
    <row r="324" spans="1:34" s="4" customFormat="1" ht="18.75" hidden="1" customHeight="1">
      <c r="A324" s="4" t="s">
        <v>273</v>
      </c>
      <c r="B324" s="4" t="s">
        <v>274</v>
      </c>
      <c r="D324" s="837"/>
      <c r="E324" s="721"/>
      <c r="F324" s="808" t="str">
        <f>INDEX(PT_DIFFERENTIATION_VTAR,MATCH(A324,PT_DIFFERENTIATION_VTAR_ID,0))</f>
        <v>Тариф на транспортировку сточных вод</v>
      </c>
      <c r="G324" s="808" t="str">
        <f>INDEX(PT_DIFFERENTIATION_NTAR,MATCH(B324,PT_DIFFERENTIATION_NTAR_ID,0))</f>
        <v/>
      </c>
      <c r="H324" s="371"/>
      <c r="I324" s="549"/>
      <c r="J324" s="567"/>
      <c r="K324" s="204"/>
      <c r="L324" s="371" t="s">
        <v>309</v>
      </c>
      <c r="M324" s="100"/>
      <c r="N324" s="115"/>
      <c r="O324" s="46"/>
      <c r="P324" s="46"/>
      <c r="AH324" s="4">
        <v>0</v>
      </c>
    </row>
    <row r="325" spans="1:34" s="4" customFormat="1" ht="18.75" hidden="1" customHeight="1">
      <c r="C325" s="4" t="s">
        <v>1150</v>
      </c>
      <c r="D325" s="837"/>
      <c r="E325" s="721"/>
      <c r="F325" s="808"/>
      <c r="G325" s="808"/>
      <c r="H325" s="130"/>
      <c r="I325" s="37" t="s">
        <v>1149</v>
      </c>
      <c r="J325" s="37"/>
      <c r="K325" s="130"/>
      <c r="L325" s="68"/>
      <c r="M325" s="100"/>
      <c r="N325" s="115"/>
      <c r="O325" s="46"/>
      <c r="P325" s="46"/>
      <c r="AH325" s="4">
        <v>0</v>
      </c>
    </row>
    <row r="326" spans="1:34" s="4" customFormat="1" ht="0.75" hidden="1" customHeight="1">
      <c r="C326" s="4" t="s">
        <v>1157</v>
      </c>
      <c r="D326" s="837"/>
      <c r="E326" s="721"/>
      <c r="F326" s="808"/>
      <c r="G326" s="130"/>
      <c r="H326" s="130"/>
      <c r="I326" s="37"/>
      <c r="J326" s="37"/>
      <c r="K326" s="130"/>
      <c r="L326" s="68"/>
      <c r="M326" s="100"/>
      <c r="N326" s="115"/>
      <c r="O326" s="46"/>
      <c r="P326" s="46"/>
      <c r="AH326" s="4">
        <v>0</v>
      </c>
    </row>
    <row r="327" spans="1:34" s="4" customFormat="1" ht="18.75" hidden="1" customHeight="1">
      <c r="A327" s="4" t="s">
        <v>278</v>
      </c>
      <c r="B327" s="4" t="s">
        <v>279</v>
      </c>
      <c r="D327" s="837"/>
      <c r="E327" s="721"/>
      <c r="F327" s="808" t="str">
        <f>INDEX(PT_DIFFERENTIATION_VTAR,MATCH(A327,PT_DIFFERENTIATION_VTAR_ID,0))</f>
        <v>Тариф на подключение (технологическое присоединение) к централизованной системе водоотведения</v>
      </c>
      <c r="G327" s="808" t="str">
        <f>INDEX(PT_DIFFERENTIATION_NTAR,MATCH(B327,PT_DIFFERENTIATION_NTAR_ID,0))</f>
        <v/>
      </c>
      <c r="H327" s="371"/>
      <c r="I327" s="549"/>
      <c r="J327" s="567"/>
      <c r="K327" s="204"/>
      <c r="L327" s="371" t="s">
        <v>309</v>
      </c>
      <c r="M327" s="100"/>
      <c r="N327" s="115"/>
      <c r="O327" s="46"/>
      <c r="P327" s="46"/>
      <c r="AH327" s="4">
        <v>0</v>
      </c>
    </row>
    <row r="328" spans="1:34" s="4" customFormat="1" ht="18.75" hidden="1" customHeight="1">
      <c r="C328" s="4" t="s">
        <v>1150</v>
      </c>
      <c r="D328" s="837"/>
      <c r="E328" s="721"/>
      <c r="F328" s="808"/>
      <c r="G328" s="808"/>
      <c r="H328" s="130"/>
      <c r="I328" s="37" t="s">
        <v>1149</v>
      </c>
      <c r="J328" s="37"/>
      <c r="K328" s="130"/>
      <c r="L328" s="68"/>
      <c r="M328" s="100"/>
      <c r="N328" s="115"/>
      <c r="O328" s="46"/>
      <c r="P328" s="46"/>
      <c r="AH328" s="4">
        <v>0</v>
      </c>
    </row>
    <row r="329" spans="1:34" s="4" customFormat="1" ht="1.1499999999999999" customHeight="1">
      <c r="C329" s="4" t="s">
        <v>1157</v>
      </c>
      <c r="D329" s="837"/>
      <c r="E329" s="721"/>
      <c r="F329" s="808"/>
      <c r="G329" s="130"/>
      <c r="H329" s="130"/>
      <c r="I329" s="37"/>
      <c r="J329" s="37"/>
      <c r="K329" s="130"/>
      <c r="L329" s="68"/>
      <c r="M329" s="100"/>
      <c r="N329" s="115"/>
      <c r="O329" s="46"/>
      <c r="P329" s="46"/>
      <c r="AH329" s="4">
        <v>1</v>
      </c>
    </row>
    <row r="330" spans="1:34" s="4" customFormat="1" ht="3" customHeight="1">
      <c r="E330" s="128"/>
      <c r="F330" s="128"/>
      <c r="G330" s="128"/>
      <c r="H330" s="128"/>
      <c r="I330" s="128"/>
      <c r="J330" s="128"/>
      <c r="K330" s="128"/>
      <c r="L330" s="128"/>
      <c r="M330" s="128"/>
      <c r="O330" s="46"/>
      <c r="P330" s="46"/>
      <c r="AH330" s="4">
        <v>3</v>
      </c>
    </row>
    <row r="331" spans="1:34" ht="26.25" customHeight="1">
      <c r="E331" s="40"/>
      <c r="F331" s="665"/>
      <c r="G331" s="665"/>
      <c r="H331" s="665"/>
      <c r="I331" s="665"/>
      <c r="J331" s="665"/>
      <c r="K331" s="665"/>
      <c r="L331" s="665"/>
      <c r="M331" s="665"/>
      <c r="AH331" s="4">
        <v>25</v>
      </c>
    </row>
    <row r="332" spans="1:34" ht="14.25" hidden="1" customHeight="1">
      <c r="A332" s="23" t="s">
        <v>82</v>
      </c>
      <c r="B332" s="23">
        <v>0</v>
      </c>
      <c r="C332" s="4">
        <v>0</v>
      </c>
      <c r="D332" s="20">
        <v>3</v>
      </c>
      <c r="E332" s="4">
        <v>6</v>
      </c>
      <c r="F332" s="4">
        <v>46</v>
      </c>
      <c r="G332" s="4">
        <v>35</v>
      </c>
      <c r="H332" s="4">
        <v>3</v>
      </c>
      <c r="I332" s="4">
        <v>11</v>
      </c>
      <c r="J332" s="4">
        <v>11</v>
      </c>
      <c r="K332" s="4">
        <v>35</v>
      </c>
      <c r="L332" s="4">
        <v>35</v>
      </c>
      <c r="M332" s="4">
        <v>84</v>
      </c>
      <c r="N332" s="4">
        <v>10</v>
      </c>
      <c r="O332" s="46">
        <v>10</v>
      </c>
      <c r="P332" s="46">
        <v>10</v>
      </c>
      <c r="Q332" s="4">
        <v>10</v>
      </c>
      <c r="R332" s="4">
        <v>10</v>
      </c>
      <c r="S332" s="4">
        <v>10</v>
      </c>
      <c r="T332" s="4">
        <v>10</v>
      </c>
      <c r="U332" s="4">
        <v>10</v>
      </c>
      <c r="V332" s="4">
        <v>10</v>
      </c>
      <c r="W332" s="4">
        <v>10</v>
      </c>
      <c r="X332" s="4">
        <v>10</v>
      </c>
      <c r="Y332" s="4">
        <v>10</v>
      </c>
      <c r="Z332" s="4">
        <v>10</v>
      </c>
      <c r="AA332" s="4">
        <v>10</v>
      </c>
      <c r="AB332" s="4">
        <v>10</v>
      </c>
      <c r="AC332" s="4">
        <v>10</v>
      </c>
      <c r="AD332" s="4">
        <v>10</v>
      </c>
      <c r="AE332" s="4">
        <v>10</v>
      </c>
      <c r="AF332" s="4">
        <v>10</v>
      </c>
      <c r="AG332" s="4">
        <v>10</v>
      </c>
      <c r="AH332" s="4">
        <v>14</v>
      </c>
    </row>
  </sheetData>
  <sheetProtection formatColumns="0" formatRows="0" insertRows="0" deleteColumns="0" deleteRows="0" sort="0" autoFilter="0"/>
  <mergeCells count="428">
    <mergeCell ref="G105:G106"/>
    <mergeCell ref="G108:G109"/>
    <mergeCell ref="G114:G115"/>
    <mergeCell ref="G117:G118"/>
    <mergeCell ref="G230:G231"/>
    <mergeCell ref="G236:G237"/>
    <mergeCell ref="G239:G240"/>
    <mergeCell ref="G242:G243"/>
    <mergeCell ref="G199:G200"/>
    <mergeCell ref="G205:G206"/>
    <mergeCell ref="G209:G210"/>
    <mergeCell ref="G212:G213"/>
    <mergeCell ref="G215:G216"/>
    <mergeCell ref="G166:G167"/>
    <mergeCell ref="G169:G170"/>
    <mergeCell ref="G175:G176"/>
    <mergeCell ref="G218:G219"/>
    <mergeCell ref="G221:G222"/>
    <mergeCell ref="G224:G225"/>
    <mergeCell ref="G181:G182"/>
    <mergeCell ref="G184:G185"/>
    <mergeCell ref="G187:G188"/>
    <mergeCell ref="G190:G191"/>
    <mergeCell ref="G163:G164"/>
    <mergeCell ref="G315:G316"/>
    <mergeCell ref="G318:G319"/>
    <mergeCell ref="G321:G322"/>
    <mergeCell ref="G324:G325"/>
    <mergeCell ref="G306:G307"/>
    <mergeCell ref="G309:G310"/>
    <mergeCell ref="G312:G313"/>
    <mergeCell ref="G300:G301"/>
    <mergeCell ref="G257:G258"/>
    <mergeCell ref="G260:G261"/>
    <mergeCell ref="G263:G264"/>
    <mergeCell ref="G266:G267"/>
    <mergeCell ref="G270:G271"/>
    <mergeCell ref="G276:G277"/>
    <mergeCell ref="G279:G280"/>
    <mergeCell ref="G282:G283"/>
    <mergeCell ref="G285:G286"/>
    <mergeCell ref="G288:G289"/>
    <mergeCell ref="G291:G292"/>
    <mergeCell ref="G297:G298"/>
    <mergeCell ref="G294:G295"/>
    <mergeCell ref="G60:G61"/>
    <mergeCell ref="G63:G64"/>
    <mergeCell ref="G66:G67"/>
    <mergeCell ref="G69:G70"/>
    <mergeCell ref="G72:G73"/>
    <mergeCell ref="G75:G76"/>
    <mergeCell ref="G78:G79"/>
    <mergeCell ref="G81:G82"/>
    <mergeCell ref="G87:G88"/>
    <mergeCell ref="F327:F329"/>
    <mergeCell ref="M270:M273"/>
    <mergeCell ref="D321:D323"/>
    <mergeCell ref="E321:E323"/>
    <mergeCell ref="F321:F323"/>
    <mergeCell ref="D324:D326"/>
    <mergeCell ref="E324:E326"/>
    <mergeCell ref="F324:F326"/>
    <mergeCell ref="D315:D317"/>
    <mergeCell ref="E315:E317"/>
    <mergeCell ref="F315:F317"/>
    <mergeCell ref="D318:D320"/>
    <mergeCell ref="E318:E320"/>
    <mergeCell ref="F318:F320"/>
    <mergeCell ref="D309:D311"/>
    <mergeCell ref="E309:E311"/>
    <mergeCell ref="F309:F311"/>
    <mergeCell ref="D312:D314"/>
    <mergeCell ref="E312:E314"/>
    <mergeCell ref="F312:F314"/>
    <mergeCell ref="D303:D305"/>
    <mergeCell ref="E303:E305"/>
    <mergeCell ref="G327:G328"/>
    <mergeCell ref="G273:G274"/>
    <mergeCell ref="F263:F265"/>
    <mergeCell ref="F279:F281"/>
    <mergeCell ref="D297:D299"/>
    <mergeCell ref="E297:E299"/>
    <mergeCell ref="F297:F299"/>
    <mergeCell ref="D300:D302"/>
    <mergeCell ref="E300:E302"/>
    <mergeCell ref="F300:F302"/>
    <mergeCell ref="D288:D290"/>
    <mergeCell ref="E288:E290"/>
    <mergeCell ref="F288:F290"/>
    <mergeCell ref="D291:D293"/>
    <mergeCell ref="E291:E293"/>
    <mergeCell ref="F291:F293"/>
    <mergeCell ref="D294:D296"/>
    <mergeCell ref="E294:E296"/>
    <mergeCell ref="F294:F296"/>
    <mergeCell ref="D248:D250"/>
    <mergeCell ref="E248:E250"/>
    <mergeCell ref="F248:F250"/>
    <mergeCell ref="G245:G246"/>
    <mergeCell ref="G248:G249"/>
    <mergeCell ref="G251:G252"/>
    <mergeCell ref="D266:D268"/>
    <mergeCell ref="E266:E268"/>
    <mergeCell ref="F266:F268"/>
    <mergeCell ref="D257:D259"/>
    <mergeCell ref="E257:E259"/>
    <mergeCell ref="F257:F259"/>
    <mergeCell ref="D260:D262"/>
    <mergeCell ref="E260:E262"/>
    <mergeCell ref="F260:F262"/>
    <mergeCell ref="D251:D253"/>
    <mergeCell ref="E251:E253"/>
    <mergeCell ref="F251:F253"/>
    <mergeCell ref="D254:D256"/>
    <mergeCell ref="E254:E256"/>
    <mergeCell ref="F254:F256"/>
    <mergeCell ref="G254:G255"/>
    <mergeCell ref="D263:D265"/>
    <mergeCell ref="E263:E265"/>
    <mergeCell ref="D230:D232"/>
    <mergeCell ref="E230:E232"/>
    <mergeCell ref="F230:F232"/>
    <mergeCell ref="D236:D238"/>
    <mergeCell ref="E236:E238"/>
    <mergeCell ref="F236:F238"/>
    <mergeCell ref="D233:D235"/>
    <mergeCell ref="E233:E235"/>
    <mergeCell ref="F233:F235"/>
    <mergeCell ref="D239:D241"/>
    <mergeCell ref="E239:E241"/>
    <mergeCell ref="F239:F241"/>
    <mergeCell ref="G233:G234"/>
    <mergeCell ref="D245:D247"/>
    <mergeCell ref="E245:E247"/>
    <mergeCell ref="F245:F247"/>
    <mergeCell ref="D242:D244"/>
    <mergeCell ref="E242:E244"/>
    <mergeCell ref="F242:F244"/>
    <mergeCell ref="D224:D226"/>
    <mergeCell ref="E224:E226"/>
    <mergeCell ref="F224:F226"/>
    <mergeCell ref="D227:D229"/>
    <mergeCell ref="E227:E229"/>
    <mergeCell ref="F227:F229"/>
    <mergeCell ref="G227:G228"/>
    <mergeCell ref="D212:D214"/>
    <mergeCell ref="E212:E214"/>
    <mergeCell ref="F212:F214"/>
    <mergeCell ref="D218:D220"/>
    <mergeCell ref="E218:E220"/>
    <mergeCell ref="F218:F220"/>
    <mergeCell ref="D221:D223"/>
    <mergeCell ref="E221:E223"/>
    <mergeCell ref="F221:F223"/>
    <mergeCell ref="D193:D195"/>
    <mergeCell ref="E193:E195"/>
    <mergeCell ref="F193:F195"/>
    <mergeCell ref="D196:D198"/>
    <mergeCell ref="E196:E198"/>
    <mergeCell ref="F196:F198"/>
    <mergeCell ref="G193:G194"/>
    <mergeCell ref="G196:G197"/>
    <mergeCell ref="D215:D217"/>
    <mergeCell ref="E215:E217"/>
    <mergeCell ref="F215:F217"/>
    <mergeCell ref="D205:D207"/>
    <mergeCell ref="E205:E207"/>
    <mergeCell ref="F205:F207"/>
    <mergeCell ref="D209:D211"/>
    <mergeCell ref="E209:E211"/>
    <mergeCell ref="F209:F211"/>
    <mergeCell ref="D199:D201"/>
    <mergeCell ref="E199:E201"/>
    <mergeCell ref="F199:F201"/>
    <mergeCell ref="D202:D204"/>
    <mergeCell ref="E202:E204"/>
    <mergeCell ref="F202:F204"/>
    <mergeCell ref="G202:G203"/>
    <mergeCell ref="D175:D177"/>
    <mergeCell ref="E175:E177"/>
    <mergeCell ref="F175:F177"/>
    <mergeCell ref="D178:D180"/>
    <mergeCell ref="E178:E180"/>
    <mergeCell ref="F178:F180"/>
    <mergeCell ref="G178:G179"/>
    <mergeCell ref="D187:D189"/>
    <mergeCell ref="E187:E189"/>
    <mergeCell ref="F187:F189"/>
    <mergeCell ref="D190:D192"/>
    <mergeCell ref="E190:E192"/>
    <mergeCell ref="F190:F192"/>
    <mergeCell ref="D181:D183"/>
    <mergeCell ref="E181:E183"/>
    <mergeCell ref="F181:F183"/>
    <mergeCell ref="D184:D186"/>
    <mergeCell ref="E184:E186"/>
    <mergeCell ref="F184:F186"/>
    <mergeCell ref="F154:F156"/>
    <mergeCell ref="D157:D159"/>
    <mergeCell ref="E157:E159"/>
    <mergeCell ref="F157:F159"/>
    <mergeCell ref="D166:D168"/>
    <mergeCell ref="E166:E168"/>
    <mergeCell ref="F166:F168"/>
    <mergeCell ref="D169:D171"/>
    <mergeCell ref="E169:E171"/>
    <mergeCell ref="F169:F171"/>
    <mergeCell ref="G141:G142"/>
    <mergeCell ref="G144:G145"/>
    <mergeCell ref="G148:G149"/>
    <mergeCell ref="G151:G152"/>
    <mergeCell ref="D160:D162"/>
    <mergeCell ref="E160:E162"/>
    <mergeCell ref="F160:F162"/>
    <mergeCell ref="D163:D165"/>
    <mergeCell ref="E163:E165"/>
    <mergeCell ref="F163:F165"/>
    <mergeCell ref="D154:D156"/>
    <mergeCell ref="D151:D153"/>
    <mergeCell ref="E151:E153"/>
    <mergeCell ref="F151:F153"/>
    <mergeCell ref="D141:D143"/>
    <mergeCell ref="E141:E143"/>
    <mergeCell ref="F141:F143"/>
    <mergeCell ref="D144:D146"/>
    <mergeCell ref="E144:E146"/>
    <mergeCell ref="F144:F146"/>
    <mergeCell ref="D148:D150"/>
    <mergeCell ref="E148:E150"/>
    <mergeCell ref="F148:F150"/>
    <mergeCell ref="E154:E156"/>
    <mergeCell ref="D135:D137"/>
    <mergeCell ref="E135:E137"/>
    <mergeCell ref="F135:F137"/>
    <mergeCell ref="D138:D140"/>
    <mergeCell ref="E138:E140"/>
    <mergeCell ref="F138:F140"/>
    <mergeCell ref="D129:D131"/>
    <mergeCell ref="E129:E131"/>
    <mergeCell ref="F129:F131"/>
    <mergeCell ref="D132:D134"/>
    <mergeCell ref="E132:E134"/>
    <mergeCell ref="F132:F134"/>
    <mergeCell ref="D117:D119"/>
    <mergeCell ref="E117:E119"/>
    <mergeCell ref="F117:F119"/>
    <mergeCell ref="D120:D122"/>
    <mergeCell ref="E120:E122"/>
    <mergeCell ref="F120:F122"/>
    <mergeCell ref="G120:G121"/>
    <mergeCell ref="G123:G124"/>
    <mergeCell ref="G126:G127"/>
    <mergeCell ref="D123:D125"/>
    <mergeCell ref="E123:E125"/>
    <mergeCell ref="F123:F125"/>
    <mergeCell ref="D126:D128"/>
    <mergeCell ref="E126:E128"/>
    <mergeCell ref="F126:F128"/>
    <mergeCell ref="D114:D116"/>
    <mergeCell ref="E114:E116"/>
    <mergeCell ref="F114:F116"/>
    <mergeCell ref="D102:D104"/>
    <mergeCell ref="E102:E104"/>
    <mergeCell ref="F102:F104"/>
    <mergeCell ref="D105:D107"/>
    <mergeCell ref="E105:E107"/>
    <mergeCell ref="F105:F107"/>
    <mergeCell ref="E75:E77"/>
    <mergeCell ref="D78:D80"/>
    <mergeCell ref="E78:E80"/>
    <mergeCell ref="D93:D95"/>
    <mergeCell ref="E93:E95"/>
    <mergeCell ref="D108:D110"/>
    <mergeCell ref="E108:E110"/>
    <mergeCell ref="F108:F110"/>
    <mergeCell ref="F96:F98"/>
    <mergeCell ref="D99:D101"/>
    <mergeCell ref="E99:E101"/>
    <mergeCell ref="F99:F101"/>
    <mergeCell ref="D81:D83"/>
    <mergeCell ref="E81:E83"/>
    <mergeCell ref="F81:F83"/>
    <mergeCell ref="D87:D89"/>
    <mergeCell ref="E87:E89"/>
    <mergeCell ref="F87:F89"/>
    <mergeCell ref="D96:D98"/>
    <mergeCell ref="E96:E98"/>
    <mergeCell ref="F84:L84"/>
    <mergeCell ref="H85:I85"/>
    <mergeCell ref="F86:L86"/>
    <mergeCell ref="G102:G103"/>
    <mergeCell ref="D45:D47"/>
    <mergeCell ref="E45:E47"/>
    <mergeCell ref="F45:F47"/>
    <mergeCell ref="D63:D65"/>
    <mergeCell ref="E63:E65"/>
    <mergeCell ref="F63:F65"/>
    <mergeCell ref="D66:D68"/>
    <mergeCell ref="E66:E68"/>
    <mergeCell ref="F66:F68"/>
    <mergeCell ref="D57:D59"/>
    <mergeCell ref="E57:E59"/>
    <mergeCell ref="F57:F59"/>
    <mergeCell ref="D60:D62"/>
    <mergeCell ref="E60:E62"/>
    <mergeCell ref="F60:F62"/>
    <mergeCell ref="D51:D53"/>
    <mergeCell ref="E51:E53"/>
    <mergeCell ref="D54:D56"/>
    <mergeCell ref="E54:E56"/>
    <mergeCell ref="D48:D50"/>
    <mergeCell ref="G45:G46"/>
    <mergeCell ref="G51:G52"/>
    <mergeCell ref="G54:G55"/>
    <mergeCell ref="G57:G58"/>
    <mergeCell ref="M209:M212"/>
    <mergeCell ref="M87:M90"/>
    <mergeCell ref="F147:L147"/>
    <mergeCell ref="M148:M151"/>
    <mergeCell ref="F208:L208"/>
    <mergeCell ref="F51:F53"/>
    <mergeCell ref="F54:F56"/>
    <mergeCell ref="F75:F77"/>
    <mergeCell ref="F78:F80"/>
    <mergeCell ref="F90:F92"/>
    <mergeCell ref="F93:F95"/>
    <mergeCell ref="M24:M83"/>
    <mergeCell ref="G42:G43"/>
    <mergeCell ref="G129:G130"/>
    <mergeCell ref="G132:G133"/>
    <mergeCell ref="G135:G136"/>
    <mergeCell ref="G138:G139"/>
    <mergeCell ref="G154:G155"/>
    <mergeCell ref="G90:G91"/>
    <mergeCell ref="G93:G94"/>
    <mergeCell ref="F331:M331"/>
    <mergeCell ref="F269:L269"/>
    <mergeCell ref="D270:D272"/>
    <mergeCell ref="E270:E272"/>
    <mergeCell ref="F270:F272"/>
    <mergeCell ref="D273:D275"/>
    <mergeCell ref="E273:E275"/>
    <mergeCell ref="F273:F275"/>
    <mergeCell ref="D276:D278"/>
    <mergeCell ref="D282:D284"/>
    <mergeCell ref="E282:E284"/>
    <mergeCell ref="F282:F284"/>
    <mergeCell ref="D285:D287"/>
    <mergeCell ref="E285:E287"/>
    <mergeCell ref="F285:F287"/>
    <mergeCell ref="E276:E278"/>
    <mergeCell ref="F276:F278"/>
    <mergeCell ref="D279:D281"/>
    <mergeCell ref="E279:E281"/>
    <mergeCell ref="F303:F305"/>
    <mergeCell ref="D306:D308"/>
    <mergeCell ref="E306:E308"/>
    <mergeCell ref="D327:D329"/>
    <mergeCell ref="E327:E329"/>
    <mergeCell ref="F306:F308"/>
    <mergeCell ref="G303:G304"/>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G48:G49"/>
    <mergeCell ref="D111:D113"/>
    <mergeCell ref="E111:E113"/>
    <mergeCell ref="F111:F113"/>
    <mergeCell ref="G111:G112"/>
    <mergeCell ref="D172:D174"/>
    <mergeCell ref="E172:E174"/>
    <mergeCell ref="F172:F174"/>
    <mergeCell ref="G172:G173"/>
    <mergeCell ref="D69:D71"/>
    <mergeCell ref="E69:E71"/>
    <mergeCell ref="F69:F71"/>
    <mergeCell ref="D90:D92"/>
    <mergeCell ref="E90:E92"/>
    <mergeCell ref="D72:D74"/>
    <mergeCell ref="E72:E74"/>
    <mergeCell ref="F72:F74"/>
    <mergeCell ref="G157:G158"/>
    <mergeCell ref="G160:G161"/>
    <mergeCell ref="E48:E50"/>
    <mergeCell ref="F48:F50"/>
    <mergeCell ref="G96:G97"/>
    <mergeCell ref="G99:G100"/>
    <mergeCell ref="D75:D77"/>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51:J51 I54:J54 I57:J57 I60:J60 I63:J63 I66:J66 I69:J69 I72:J72 I75:J75 I78:J78 I209:J209 I212:J212 I215:J215 I218:J218 I221:J221 I224:J224 I227:J227 I230:J230 I236:J236 I239:J239 I242:J242 I245:J245 I248:J248 I251:J251 I254:J254 I257:J257 I260:J260 I8:J8 I81:J81 I144:J144 I90:J90 I93:J93 I96:J96 I99:J99 I102:J102 I105:J105 I108:J108 I114:J114 I117:J117 I120:J120 I123:J123 I126:J126 I129:J129 I132:J132 I135:J135 I138:J138 I141:J141 I148:J148 I87:J87 I151:J151 I154:J154 I157:J157 I160:J160 I163:J163 I166:J166 I169:J169 I175:J175 I178:J178 I181:J181 I184:J184 I187:J187 I193:J193 I196:J196 I199:J199 I202:J202 I205:J205 I190:J190 I263:J263 I266:J266 I270:J270 I273:J273 I276:J276 I279:J279 I282:J282 I285:J285 I288:J288 I291:J291 I297:J297 I300:J300 I303:J303 I306:J306 I309:J309 I312:J312 I315:J315 I318:J318 I321:J321 I324:J324 I327:J327 I2:J2 I5:J5 I48:J48 I111:J111 I172:J172 I233:J233 I294:J294" xr:uid="{00000000-0002-0000-2F00-000000000000}"/>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85" xr:uid="{00000000-0002-0000-2F00-000001000000}">
      <formula1>900</formula1>
    </dataValidation>
    <dataValidation type="textLength" operator="lessThanOrEqual" allowBlank="1" showInputMessage="1" showErrorMessage="1" errorTitle="Ошибка" error="Допускается ввод не более 900 символов!" sqref="M148:M149 M209:M210 M23 M87:M88 M270:M271" xr:uid="{00000000-0002-0000-2F00-000002000000}">
      <formula1>900</formula1>
    </dataValidation>
    <dataValidation type="decimal" allowBlank="1" showErrorMessage="1" errorTitle="Ошибка" error="Допускается ввод только действительных чисел!" sqref="K209 K212 K215 K218 K221 K224 K227 K230 K236 K239 K242 K245 K248 K251 K254 K257 K260 K263 K10 K87 K141 K138 K135 K132 K129 K126 K123 K120 K117 K114 K108 K105 K102 K99 K96 K93 K90 K148 K144 K151 K154 K157 K160 K163 K166 K169 K175 K178 K181 K184 K187 K193 K196 K199 K202 K205 K190 K266 K270 K273 K276 K279 K282 K285 K288 K291 K297 K300 K303 K306 K309 K312 K315 K318 K321 K324 K327 K5 K111 K172 K233 K294" xr:uid="{00000000-0002-0000-2F00-000003000000}">
      <formula1>-9.99999999999999E+23</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AE5408-E0A8-ED69-2257-18F6A8A60189}">
  <sheetPr>
    <tabColor theme="6" tint="0.39997558519241921"/>
  </sheetPr>
  <dimension ref="A1:R17"/>
  <sheetViews>
    <sheetView showGridLines="0" zoomScale="90" workbookViewId="0">
      <pane xSplit="5" ySplit="9" topLeftCell="F10" activePane="bottomRight" state="frozen"/>
      <selection pane="topRight" activeCell="F1" sqref="F1"/>
      <selection pane="bottomLeft" activeCell="A10" sqref="A10"/>
      <selection pane="bottomRight"/>
    </sheetView>
  </sheetViews>
  <sheetFormatPr defaultColWidth="10.5703125" defaultRowHeight="14.25" customHeight="1"/>
  <cols>
    <col min="1" max="1" width="9.140625" style="23" hidden="1" customWidth="1"/>
    <col min="2" max="2" width="9.140625" style="43" hidden="1" customWidth="1"/>
    <col min="3" max="3" width="3" style="20" customWidth="1"/>
    <col min="4" max="4" width="6" style="4" customWidth="1"/>
    <col min="5" max="5" width="53" style="4" customWidth="1"/>
    <col min="6" max="7" width="35" style="4" customWidth="1"/>
    <col min="8" max="8" width="89" style="4" customWidth="1"/>
    <col min="9" max="9" width="10" style="4" customWidth="1"/>
    <col min="10" max="11" width="10" style="46" customWidth="1"/>
    <col min="12" max="17" width="10" style="4" customWidth="1"/>
    <col min="18" max="18" width="10.5703125" style="4" hidden="1"/>
  </cols>
  <sheetData>
    <row r="1" spans="1:18" ht="22.5" hidden="1" customHeight="1">
      <c r="R1" s="4" t="s">
        <v>14</v>
      </c>
    </row>
    <row r="2" spans="1:18" s="4" customFormat="1" ht="18.75" hidden="1" customHeight="1">
      <c r="B2" s="43"/>
      <c r="C2" s="542" t="s">
        <v>123</v>
      </c>
      <c r="D2" s="44"/>
      <c r="E2" s="139"/>
      <c r="F2" s="67"/>
      <c r="G2" s="72"/>
      <c r="I2" s="46"/>
      <c r="J2" s="46"/>
      <c r="R2" s="4">
        <v>0</v>
      </c>
    </row>
    <row r="3" spans="1:18" ht="14.25" hidden="1" customHeight="1">
      <c r="R3" s="4">
        <v>0</v>
      </c>
    </row>
    <row r="4" spans="1:18" ht="6.4" customHeight="1">
      <c r="C4" s="19"/>
      <c r="D4" s="6"/>
      <c r="E4" s="6"/>
      <c r="F4" s="6"/>
      <c r="G4" s="6"/>
      <c r="H4" s="6"/>
      <c r="R4" s="4">
        <v>6</v>
      </c>
    </row>
    <row r="5" spans="1:18" ht="34.5" customHeight="1">
      <c r="C5" s="19"/>
      <c r="D5" s="672" t="str">
        <f>PURCH_NAME_FORM</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E5" s="673"/>
      <c r="F5" s="673"/>
      <c r="G5" s="674"/>
      <c r="H5" s="92"/>
      <c r="R5" s="4">
        <v>33</v>
      </c>
    </row>
    <row r="6" spans="1:18" s="4" customFormat="1" ht="18" customHeight="1">
      <c r="A6" s="23"/>
      <c r="B6" s="43"/>
      <c r="C6" s="19"/>
      <c r="D6" s="675" t="str">
        <f>IF(org=0,"Не определено",org)</f>
        <v>ООО "Восточная Тепловая компания"</v>
      </c>
      <c r="E6" s="676"/>
      <c r="F6" s="676"/>
      <c r="G6" s="677"/>
      <c r="H6" s="92"/>
      <c r="J6" s="46"/>
      <c r="K6" s="46"/>
      <c r="R6" s="4">
        <v>17</v>
      </c>
    </row>
    <row r="7" spans="1:18" ht="14.65" customHeight="1">
      <c r="C7" s="19"/>
      <c r="D7" s="6"/>
      <c r="E7" s="6"/>
      <c r="F7" s="6"/>
      <c r="G7" s="247"/>
      <c r="H7" s="6"/>
      <c r="R7" s="4">
        <v>14</v>
      </c>
    </row>
    <row r="8" spans="1:18" ht="14.65" customHeight="1">
      <c r="C8" s="19"/>
      <c r="D8" s="722" t="s">
        <v>303</v>
      </c>
      <c r="E8" s="722"/>
      <c r="F8" s="722"/>
      <c r="G8" s="722"/>
      <c r="H8" s="722" t="s">
        <v>304</v>
      </c>
      <c r="R8" s="4">
        <v>14</v>
      </c>
    </row>
    <row r="9" spans="1:18" ht="24" customHeight="1">
      <c r="C9" s="19"/>
      <c r="D9" s="24" t="s">
        <v>88</v>
      </c>
      <c r="E9" s="27" t="s">
        <v>305</v>
      </c>
      <c r="F9" s="27" t="s">
        <v>306</v>
      </c>
      <c r="G9" s="27" t="s">
        <v>393</v>
      </c>
      <c r="H9" s="722"/>
      <c r="R9" s="4">
        <v>23</v>
      </c>
    </row>
    <row r="10" spans="1:18" ht="14.65" customHeight="1">
      <c r="A10" s="4"/>
      <c r="C10" s="19"/>
      <c r="D10" s="44" t="s">
        <v>110</v>
      </c>
      <c r="E10" s="27"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0" s="67"/>
      <c r="G10" s="72"/>
      <c r="H10" s="673" t="s">
        <v>1158</v>
      </c>
      <c r="R10" s="4">
        <v>14</v>
      </c>
    </row>
    <row r="11" spans="1:18" ht="14.65" customHeight="1">
      <c r="A11" s="4"/>
      <c r="C11" s="19"/>
      <c r="D11" s="44" t="s">
        <v>111</v>
      </c>
      <c r="E11" s="27"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1" s="67"/>
      <c r="G11" s="72"/>
      <c r="H11" s="705"/>
      <c r="R11" s="4">
        <v>14</v>
      </c>
    </row>
    <row r="12" spans="1:18" ht="14.65" customHeight="1">
      <c r="A12" s="4"/>
      <c r="C12" s="15"/>
      <c r="D12" s="44" t="s">
        <v>90</v>
      </c>
      <c r="E12" s="27" t="str">
        <f>"Сведения о планировании закупочных процедур"&amp;IF(TEMPLATE_SPHERE="TKO"," &lt;1&gt;","")</f>
        <v>Сведения о планировании закупочных процедур</v>
      </c>
      <c r="F12" s="67"/>
      <c r="G12" s="72"/>
      <c r="H12" s="705"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товаров и (или) оказания услуг организацией, информация по ним указывается в отдельных строках.</v>
      </c>
      <c r="I12" s="46"/>
      <c r="K12" s="4"/>
      <c r="R12" s="4">
        <v>14</v>
      </c>
    </row>
    <row r="13" spans="1:18" ht="14.65" customHeight="1">
      <c r="A13" s="4"/>
      <c r="C13" s="15"/>
      <c r="D13" s="44" t="s">
        <v>91</v>
      </c>
      <c r="E13" s="27" t="str">
        <f>"Сведения о результатах проведения закупочных процедур"&amp;IF(TEMPLATE_SPHERE="TKO"," &lt;1&gt;","")</f>
        <v>Сведения о результатах проведения закупочных процедур</v>
      </c>
      <c r="F13" s="67"/>
      <c r="G13" s="72"/>
      <c r="H13" s="705"/>
      <c r="I13" s="46"/>
      <c r="K13" s="4"/>
      <c r="R13" s="4">
        <v>14</v>
      </c>
    </row>
    <row r="14" spans="1:18" ht="14.65" customHeight="1">
      <c r="A14" s="4"/>
      <c r="C14" s="19"/>
      <c r="D14" s="28"/>
      <c r="E14" s="37" t="s">
        <v>325</v>
      </c>
      <c r="F14" s="37"/>
      <c r="G14" s="68"/>
      <c r="H14" s="676"/>
      <c r="R14" s="4">
        <v>14</v>
      </c>
    </row>
    <row r="15" spans="1:18" s="4" customFormat="1" ht="14.65" customHeight="1">
      <c r="B15" s="43"/>
      <c r="C15" s="19"/>
      <c r="D15" s="128"/>
      <c r="E15" s="355"/>
      <c r="F15" s="355"/>
      <c r="G15" s="518"/>
      <c r="H15" s="128"/>
      <c r="J15" s="46"/>
      <c r="K15" s="46"/>
      <c r="R15" s="4">
        <v>14</v>
      </c>
    </row>
    <row r="16" spans="1:18" ht="14.65" customHeight="1">
      <c r="E16" s="665"/>
      <c r="F16" s="665"/>
      <c r="G16" s="665"/>
      <c r="H16" s="665"/>
      <c r="R16" s="4">
        <v>14</v>
      </c>
    </row>
    <row r="17" spans="1:18" ht="22.5" hidden="1" customHeight="1">
      <c r="A17" s="23" t="s">
        <v>82</v>
      </c>
      <c r="B17" s="43">
        <v>0</v>
      </c>
      <c r="C17" s="20">
        <v>3</v>
      </c>
      <c r="D17" s="4">
        <v>6</v>
      </c>
      <c r="E17" s="4">
        <v>53</v>
      </c>
      <c r="F17" s="4">
        <v>35</v>
      </c>
      <c r="G17" s="4">
        <v>35</v>
      </c>
      <c r="H17" s="4">
        <v>89</v>
      </c>
      <c r="I17" s="4">
        <v>10</v>
      </c>
      <c r="J17" s="46">
        <v>10</v>
      </c>
      <c r="K17" s="46">
        <v>10</v>
      </c>
      <c r="L17" s="4">
        <v>10</v>
      </c>
      <c r="M17" s="4">
        <v>10</v>
      </c>
      <c r="N17" s="4">
        <v>10</v>
      </c>
      <c r="O17" s="4">
        <v>10</v>
      </c>
      <c r="P17" s="4">
        <v>10</v>
      </c>
      <c r="Q17" s="4">
        <v>10</v>
      </c>
      <c r="R17" s="4">
        <v>23</v>
      </c>
    </row>
  </sheetData>
  <sheetProtection formatColumns="0" formatRows="0" insertRows="0" deleteColumns="0" deleteRows="0" sort="0" autoFilter="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G2 G10:G13" xr:uid="{00000000-0002-0000-3000-000000000000}">
      <formula1>900</formula1>
    </dataValidation>
    <dataValidation type="textLength" operator="lessThanOrEqual" allowBlank="1" showInputMessage="1" showErrorMessage="1" errorTitle="Ошибка" error="Допускается ввод не более 900 символов!" sqref="H10 E13 E2:F2 F10:F13" xr:uid="{00000000-0002-0000-3000-000001000000}">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C13E0A-A666-804B-5DA3-8B3489F46BC8}">
  <sheetPr>
    <tabColor theme="2" tint="-9.9978637043366805E-2"/>
  </sheetPr>
  <dimension ref="A1:X30"/>
  <sheetViews>
    <sheetView showGridLines="0" zoomScale="90" workbookViewId="0">
      <pane xSplit="8" ySplit="18" topLeftCell="K19" activePane="bottomRight" state="frozen"/>
      <selection pane="topRight" activeCell="I1" sqref="I1"/>
      <selection pane="bottomLeft" activeCell="A19" sqref="A19"/>
      <selection pane="bottomRight" activeCell="K8" sqref="K8"/>
    </sheetView>
  </sheetViews>
  <sheetFormatPr defaultColWidth="10.5703125" defaultRowHeight="15" customHeight="1"/>
  <cols>
    <col min="1" max="1" width="9.140625" style="7" hidden="1" customWidth="1"/>
    <col min="2" max="2" width="9.140625" style="4" hidden="1" customWidth="1"/>
    <col min="3" max="3" width="4" style="56" customWidth="1"/>
    <col min="4" max="4" width="6" style="4" customWidth="1"/>
    <col min="5" max="5" width="47" style="4" customWidth="1"/>
    <col min="6" max="6" width="9" style="4" customWidth="1"/>
    <col min="7" max="7" width="25.7109375" style="4" hidden="1" customWidth="1"/>
    <col min="8" max="8" width="34" style="4" hidden="1" customWidth="1"/>
    <col min="9" max="9" width="25.7109375" style="4" customWidth="1"/>
    <col min="10" max="10" width="33" style="4" customWidth="1"/>
    <col min="11" max="11" width="25.7109375" style="4" customWidth="1"/>
    <col min="12" max="12" width="34" style="4" customWidth="1"/>
    <col min="13" max="13" width="50" style="43" customWidth="1"/>
    <col min="14" max="22" width="10" style="4" customWidth="1"/>
    <col min="23" max="23" width="10" style="166" customWidth="1"/>
    <col min="24" max="24" width="10.5703125" style="4" hidden="1"/>
  </cols>
  <sheetData>
    <row r="1" spans="1:24" s="43" customFormat="1" ht="22.5" hidden="1" customHeight="1">
      <c r="G1" s="43">
        <v>4</v>
      </c>
      <c r="I1" s="43">
        <v>4</v>
      </c>
      <c r="K1" s="43">
        <v>4</v>
      </c>
      <c r="W1" s="135"/>
      <c r="X1" s="43" t="s">
        <v>14</v>
      </c>
    </row>
    <row r="2" spans="1:24" s="4" customFormat="1" ht="15" hidden="1" customHeight="1">
      <c r="A2" s="7"/>
      <c r="C2" s="56"/>
      <c r="D2" s="23"/>
      <c r="E2" s="23"/>
      <c r="G2" s="51"/>
      <c r="H2" s="51"/>
      <c r="I2" s="51"/>
      <c r="J2" s="51"/>
      <c r="K2" s="51"/>
      <c r="L2" s="51"/>
      <c r="W2" s="166"/>
      <c r="X2" s="4">
        <v>0</v>
      </c>
    </row>
    <row r="3" spans="1:24" s="43" customFormat="1" ht="15" hidden="1" customHeight="1">
      <c r="W3" s="135"/>
      <c r="X3" s="43">
        <v>0</v>
      </c>
    </row>
    <row r="4" spans="1:24" ht="15.75" customHeight="1">
      <c r="X4" s="4">
        <v>15</v>
      </c>
    </row>
    <row r="5" spans="1:24" ht="66" customHeight="1">
      <c r="D5" s="697" t="s">
        <v>1159</v>
      </c>
      <c r="E5" s="697"/>
      <c r="F5" s="697"/>
      <c r="G5" s="697"/>
      <c r="H5" s="697"/>
      <c r="I5" s="697"/>
      <c r="J5" s="697"/>
      <c r="K5" s="128"/>
      <c r="L5" s="128"/>
      <c r="X5" s="4">
        <v>63</v>
      </c>
    </row>
    <row r="6" spans="1:24" ht="15.75" customHeight="1">
      <c r="D6" s="712" t="str">
        <f>IF(org=0,"Не определено",org)</f>
        <v>ООО "Восточная Тепловая компания"</v>
      </c>
      <c r="E6" s="712"/>
      <c r="F6" s="712"/>
      <c r="G6" s="712"/>
      <c r="H6" s="712"/>
      <c r="I6" s="712"/>
      <c r="J6" s="712"/>
      <c r="K6" s="358"/>
      <c r="L6" s="358"/>
      <c r="X6" s="4">
        <v>15</v>
      </c>
    </row>
    <row r="7" spans="1:24" ht="15.75" customHeight="1">
      <c r="D7" s="247"/>
      <c r="G7" s="43">
        <v>22</v>
      </c>
      <c r="I7" s="43">
        <v>1</v>
      </c>
      <c r="J7" s="247"/>
      <c r="K7" s="43" t="s">
        <v>22</v>
      </c>
      <c r="X7" s="4">
        <v>15</v>
      </c>
    </row>
    <row r="8" spans="1:24" s="4" customFormat="1" ht="1.1499999999999999" customHeight="1">
      <c r="A8" s="7"/>
      <c r="C8" s="56"/>
      <c r="G8" s="43"/>
      <c r="H8" s="247"/>
      <c r="I8" s="43" t="s">
        <v>118</v>
      </c>
      <c r="J8" s="247"/>
      <c r="K8" s="43" t="s">
        <v>124</v>
      </c>
      <c r="L8" s="247"/>
      <c r="M8" s="43"/>
      <c r="W8" s="166"/>
      <c r="X8" s="4">
        <v>1</v>
      </c>
    </row>
    <row r="9" spans="1:24" ht="15.75" customHeight="1">
      <c r="D9" s="217"/>
      <c r="E9" s="666" t="s">
        <v>106</v>
      </c>
      <c r="F9" s="661"/>
      <c r="G9" s="742" t="str">
        <f>IF(G8="","",INDEX(DIFFERENTIATION_UNMERGE_VD,MATCH(G8,DIFFERENTIATION_ID_DIFF,0)))</f>
        <v/>
      </c>
      <c r="H9" s="744"/>
      <c r="I9" s="742" t="str">
        <f>IF(I8="","",INDEX(DIFFERENTIATION_UNMERGE_VD,MATCH(I8,DIFFERENTIATION_ID_DIFF,0)))</f>
        <v>Производство тепловой энергии. Некомбинированная выработка; Передача. Тепловая энергия; Сбыт. Тепловая энергия</v>
      </c>
      <c r="J9" s="744"/>
      <c r="K9" s="742" t="str">
        <f>IF(K8="","",INDEX(DIFFERENTIATION_UNMERGE_VD,MATCH(K8,DIFFERENTIATION_ID_DIFF,0)))</f>
        <v>Производство. Теплоноситель; Передача. Теплоноситель; Сбыт. Теплоноситель</v>
      </c>
      <c r="L9" s="744"/>
      <c r="M9" s="673" t="s">
        <v>304</v>
      </c>
      <c r="X9" s="4">
        <v>15</v>
      </c>
    </row>
    <row r="10" spans="1:24" s="4" customFormat="1" ht="15.75" customHeight="1">
      <c r="A10" s="7"/>
      <c r="C10" s="56"/>
      <c r="D10" s="217"/>
      <c r="E10" s="666" t="s">
        <v>567</v>
      </c>
      <c r="F10" s="661"/>
      <c r="G10" s="742" t="str">
        <f>IF(G8="","",INDEX(DIFFERENTIATION_UNMERGE_AREA,MATCH(G8,DIFFERENTIATION_ID_DIFF,0)))</f>
        <v/>
      </c>
      <c r="H10" s="744"/>
      <c r="I10" s="742" t="str">
        <f>IF(I8="","",INDEX(DIFFERENTIATION_UNMERGE_AREA,MATCH(I8,DIFFERENTIATION_ID_DIFF,0)))</f>
        <v>Территория 1</v>
      </c>
      <c r="J10" s="744"/>
      <c r="K10" s="742" t="str">
        <f>IF(K8="","",INDEX(DIFFERENTIATION_UNMERGE_AREA,MATCH(K8,DIFFERENTIATION_ID_DIFF,0)))</f>
        <v/>
      </c>
      <c r="L10" s="744"/>
      <c r="M10" s="705"/>
      <c r="W10" s="166"/>
      <c r="X10" s="4">
        <v>15</v>
      </c>
    </row>
    <row r="11" spans="1:24" s="4" customFormat="1" ht="15.75" customHeight="1">
      <c r="A11" s="7"/>
      <c r="C11" s="56"/>
      <c r="D11" s="217"/>
      <c r="E11" s="666" t="s">
        <v>568</v>
      </c>
      <c r="F11" s="661"/>
      <c r="G11" s="742" t="str">
        <f>IF(G8="","",INDEX(DIFFERENTIATION_UNMERGE_SYSTEM,MATCH(G8,DIFFERENTIATION_ID_DIFF,0)))</f>
        <v/>
      </c>
      <c r="H11" s="744"/>
      <c r="I11" s="742" t="str">
        <f>IF(I8="","",INDEX(DIFFERENTIATION_UNMERGE_SYSTEM,MATCH(I8,DIFFERENTIATION_ID_DIFF,0)))</f>
        <v>д. Кисловка</v>
      </c>
      <c r="J11" s="744"/>
      <c r="K11" s="742" t="str">
        <f>IF(K8="","",INDEX(DIFFERENTIATION_UNMERGE_SYSTEM,MATCH(K8,DIFFERENTIATION_ID_DIFF,0)))</f>
        <v>д. Кисловка</v>
      </c>
      <c r="L11" s="744"/>
      <c r="M11" s="705"/>
      <c r="W11" s="166"/>
      <c r="X11" s="4">
        <v>15</v>
      </c>
    </row>
    <row r="12" spans="1:24" s="4" customFormat="1" ht="15.75" customHeight="1">
      <c r="A12" s="7"/>
      <c r="C12" s="56"/>
      <c r="D12" s="662" t="s">
        <v>303</v>
      </c>
      <c r="E12" s="666"/>
      <c r="F12" s="666"/>
      <c r="G12" s="223"/>
      <c r="H12" s="223"/>
      <c r="I12" s="223"/>
      <c r="J12" s="223"/>
      <c r="K12" s="223"/>
      <c r="L12" s="223"/>
      <c r="M12" s="705"/>
      <c r="W12" s="166"/>
      <c r="X12" s="4">
        <v>15</v>
      </c>
    </row>
    <row r="13" spans="1:24" ht="35.65" customHeight="1">
      <c r="D13" s="29" t="s">
        <v>88</v>
      </c>
      <c r="E13" s="29" t="s">
        <v>305</v>
      </c>
      <c r="F13" s="29" t="s">
        <v>569</v>
      </c>
      <c r="G13" s="217" t="s">
        <v>306</v>
      </c>
      <c r="H13" s="29" t="s">
        <v>393</v>
      </c>
      <c r="I13" s="217" t="s">
        <v>306</v>
      </c>
      <c r="J13" s="29" t="s">
        <v>393</v>
      </c>
      <c r="K13" s="217" t="s">
        <v>306</v>
      </c>
      <c r="L13" s="29" t="s">
        <v>393</v>
      </c>
      <c r="M13" s="676"/>
      <c r="X13" s="4">
        <v>34</v>
      </c>
    </row>
    <row r="14" spans="1:24" ht="15" hidden="1" customHeight="1">
      <c r="D14" s="192" t="s">
        <v>110</v>
      </c>
      <c r="E14" s="192" t="s">
        <v>111</v>
      </c>
      <c r="F14" s="192" t="s">
        <v>90</v>
      </c>
      <c r="G14" s="56" t="str">
        <f>G1&amp;".1"</f>
        <v>4.1</v>
      </c>
      <c r="H14" s="56"/>
      <c r="I14" s="56" t="str">
        <f>I1&amp;".1"</f>
        <v>4.1</v>
      </c>
      <c r="J14" s="56"/>
      <c r="K14" s="56" t="str">
        <f>K1&amp;".1"</f>
        <v>4.1</v>
      </c>
      <c r="L14" s="56"/>
      <c r="M14" s="29"/>
      <c r="X14" s="4">
        <v>0</v>
      </c>
    </row>
    <row r="15" spans="1:24" ht="22.5" hidden="1" customHeight="1">
      <c r="A15" s="4"/>
      <c r="C15" s="16"/>
      <c r="D15" s="29">
        <v>1</v>
      </c>
      <c r="E15" s="29" t="s">
        <v>812</v>
      </c>
      <c r="F15" s="29" t="s">
        <v>813</v>
      </c>
      <c r="G15" s="213"/>
      <c r="H15" s="213"/>
      <c r="I15" s="213"/>
      <c r="J15" s="213"/>
      <c r="K15" s="213"/>
      <c r="L15" s="213"/>
      <c r="M15" s="29" t="s">
        <v>814</v>
      </c>
      <c r="X15" s="4">
        <v>0</v>
      </c>
    </row>
    <row r="16" spans="1:24" ht="22.5" hidden="1" customHeight="1">
      <c r="A16" s="4"/>
      <c r="C16" s="16"/>
      <c r="D16" s="29">
        <v>2</v>
      </c>
      <c r="E16" s="29" t="s">
        <v>815</v>
      </c>
      <c r="F16" s="29" t="s">
        <v>816</v>
      </c>
      <c r="G16" s="213"/>
      <c r="H16" s="213"/>
      <c r="I16" s="213"/>
      <c r="J16" s="213"/>
      <c r="K16" s="213"/>
      <c r="L16" s="213"/>
      <c r="M16" s="29" t="s">
        <v>817</v>
      </c>
      <c r="X16" s="4">
        <v>0</v>
      </c>
    </row>
    <row r="17" spans="1:24" ht="123.75" hidden="1" customHeight="1">
      <c r="A17" s="4"/>
      <c r="C17" s="16"/>
      <c r="D17" s="29">
        <v>3</v>
      </c>
      <c r="E17" s="29" t="s">
        <v>1160</v>
      </c>
      <c r="F17" s="29" t="s">
        <v>309</v>
      </c>
      <c r="G17" s="213"/>
      <c r="H17" s="213"/>
      <c r="I17" s="213"/>
      <c r="J17" s="213"/>
      <c r="K17" s="213"/>
      <c r="L17" s="213"/>
      <c r="M17" s="29" t="s">
        <v>1161</v>
      </c>
      <c r="X17" s="4">
        <v>0</v>
      </c>
    </row>
    <row r="18" spans="1:24" ht="48.2" customHeight="1">
      <c r="A18" s="4"/>
      <c r="C18" s="16"/>
      <c r="D18" s="29">
        <v>3</v>
      </c>
      <c r="E18" s="29" t="s">
        <v>818</v>
      </c>
      <c r="F18" s="29" t="s">
        <v>309</v>
      </c>
      <c r="G18" s="29" t="s">
        <v>309</v>
      </c>
      <c r="H18" s="100" t="s">
        <v>309</v>
      </c>
      <c r="I18" s="29" t="s">
        <v>309</v>
      </c>
      <c r="J18" s="100" t="s">
        <v>309</v>
      </c>
      <c r="K18" s="29" t="s">
        <v>309</v>
      </c>
      <c r="L18" s="100" t="s">
        <v>309</v>
      </c>
      <c r="M18" s="29" t="s">
        <v>1162</v>
      </c>
      <c r="X18" s="4">
        <v>46</v>
      </c>
    </row>
    <row r="19" spans="1:24" ht="35.65" customHeight="1">
      <c r="A19" s="4"/>
      <c r="C19" s="16"/>
      <c r="D19" s="31" t="s">
        <v>327</v>
      </c>
      <c r="E19" s="29" t="s">
        <v>820</v>
      </c>
      <c r="F19" s="29" t="s">
        <v>821</v>
      </c>
      <c r="G19" s="271"/>
      <c r="H19" s="25"/>
      <c r="I19" s="271"/>
      <c r="J19" s="131"/>
      <c r="K19" s="271"/>
      <c r="L19" s="25"/>
      <c r="M19" s="169"/>
      <c r="X19" s="4">
        <v>34</v>
      </c>
    </row>
    <row r="20" spans="1:24" ht="35.65" customHeight="1">
      <c r="A20" s="4"/>
      <c r="C20" s="16"/>
      <c r="D20" s="31" t="s">
        <v>335</v>
      </c>
      <c r="E20" s="29" t="s">
        <v>822</v>
      </c>
      <c r="F20" s="29" t="s">
        <v>823</v>
      </c>
      <c r="G20" s="271"/>
      <c r="H20" s="25"/>
      <c r="I20" s="271"/>
      <c r="J20" s="25"/>
      <c r="K20" s="271"/>
      <c r="L20" s="25"/>
      <c r="M20" s="169"/>
      <c r="X20" s="4">
        <v>34</v>
      </c>
    </row>
    <row r="21" spans="1:24" ht="48.2" customHeight="1">
      <c r="A21" s="4"/>
      <c r="C21" s="16"/>
      <c r="D21" s="31" t="s">
        <v>337</v>
      </c>
      <c r="E21" s="29" t="s">
        <v>824</v>
      </c>
      <c r="F21" s="29" t="s">
        <v>574</v>
      </c>
      <c r="G21" s="214"/>
      <c r="H21" s="25"/>
      <c r="I21" s="214"/>
      <c r="J21" s="25"/>
      <c r="K21" s="214"/>
      <c r="L21" s="25"/>
      <c r="M21" s="169"/>
      <c r="X21" s="4">
        <v>46</v>
      </c>
    </row>
    <row r="22" spans="1:24" ht="67.5" hidden="1" customHeight="1">
      <c r="A22" s="4"/>
      <c r="C22" s="16"/>
      <c r="D22" s="29">
        <v>5</v>
      </c>
      <c r="E22" s="29" t="s">
        <v>1163</v>
      </c>
      <c r="F22" s="29" t="s">
        <v>561</v>
      </c>
      <c r="G22" s="215"/>
      <c r="H22" s="216"/>
      <c r="I22" s="215"/>
      <c r="J22" s="216"/>
      <c r="K22" s="215"/>
      <c r="L22" s="216"/>
      <c r="M22" s="29" t="s">
        <v>1164</v>
      </c>
      <c r="X22" s="4">
        <v>0</v>
      </c>
    </row>
    <row r="23" spans="1:24" ht="33.75" hidden="1" customHeight="1">
      <c r="C23" s="16"/>
      <c r="D23" s="29">
        <v>6</v>
      </c>
      <c r="E23" s="29" t="s">
        <v>1165</v>
      </c>
      <c r="F23" s="29" t="s">
        <v>1166</v>
      </c>
      <c r="G23" s="215"/>
      <c r="H23" s="215"/>
      <c r="I23" s="215"/>
      <c r="J23" s="215"/>
      <c r="K23" s="215"/>
      <c r="L23" s="215"/>
      <c r="M23" s="29" t="s">
        <v>1167</v>
      </c>
      <c r="X23" s="4">
        <v>0</v>
      </c>
    </row>
    <row r="24" spans="1:24" ht="15.75" customHeight="1">
      <c r="X24" s="4">
        <v>15</v>
      </c>
    </row>
    <row r="25" spans="1:24" ht="15.75" customHeight="1">
      <c r="X25" s="4">
        <v>15</v>
      </c>
    </row>
    <row r="26" spans="1:24" ht="15.75" customHeight="1">
      <c r="X26" s="4">
        <v>15</v>
      </c>
    </row>
    <row r="27" spans="1:24" ht="15.75" customHeight="1">
      <c r="X27" s="4">
        <v>15</v>
      </c>
    </row>
    <row r="28" spans="1:24" ht="15.75" customHeight="1">
      <c r="X28" s="4">
        <v>15</v>
      </c>
    </row>
    <row r="29" spans="1:24" ht="15.75" customHeight="1">
      <c r="J29" s="252"/>
      <c r="X29" s="4">
        <v>15</v>
      </c>
    </row>
    <row r="30" spans="1:24" ht="22.5" hidden="1" customHeight="1">
      <c r="A30" s="7" t="s">
        <v>82</v>
      </c>
      <c r="B30" s="4">
        <v>0</v>
      </c>
      <c r="C30" s="56">
        <v>4</v>
      </c>
      <c r="D30" s="4">
        <v>6</v>
      </c>
      <c r="E30" s="4">
        <v>47</v>
      </c>
      <c r="F30" s="4">
        <v>9</v>
      </c>
      <c r="G30" s="4">
        <v>0</v>
      </c>
      <c r="H30" s="4">
        <v>0</v>
      </c>
      <c r="I30" s="4">
        <v>25</v>
      </c>
      <c r="J30" s="4">
        <v>33</v>
      </c>
      <c r="K30" s="4">
        <v>0</v>
      </c>
      <c r="L30" s="4">
        <v>0</v>
      </c>
      <c r="M30" s="43">
        <v>50</v>
      </c>
      <c r="N30" s="4">
        <v>10</v>
      </c>
      <c r="O30" s="4">
        <v>10</v>
      </c>
      <c r="P30" s="4">
        <v>10</v>
      </c>
      <c r="Q30" s="4">
        <v>10</v>
      </c>
      <c r="R30" s="4">
        <v>10</v>
      </c>
      <c r="S30" s="4">
        <v>10</v>
      </c>
      <c r="T30" s="4">
        <v>10</v>
      </c>
      <c r="U30" s="4">
        <v>10</v>
      </c>
      <c r="V30" s="4">
        <v>10</v>
      </c>
      <c r="W30" s="166">
        <v>10</v>
      </c>
      <c r="X30" s="4">
        <v>23</v>
      </c>
    </row>
  </sheetData>
  <sheetProtection formatColumns="0" formatRows="0" insertRows="0" deleteColumns="0" deleteRows="0" sort="0" autoFilter="0"/>
  <mergeCells count="16">
    <mergeCell ref="D5:J5"/>
    <mergeCell ref="D6:J6"/>
    <mergeCell ref="M9:M13"/>
    <mergeCell ref="I9:J9"/>
    <mergeCell ref="E9:F9"/>
    <mergeCell ref="E10:F10"/>
    <mergeCell ref="E11:F11"/>
    <mergeCell ref="I10:J10"/>
    <mergeCell ref="I11:J11"/>
    <mergeCell ref="G9:H9"/>
    <mergeCell ref="G10:H10"/>
    <mergeCell ref="G11:H11"/>
    <mergeCell ref="D12:F12"/>
    <mergeCell ref="K9:L9"/>
    <mergeCell ref="K10:L10"/>
    <mergeCell ref="K11:L11"/>
  </mergeCells>
  <dataValidations count="4">
    <dataValidation type="textLength" operator="lessThanOrEqual" allowBlank="1" showInputMessage="1" showErrorMessage="1" errorTitle="Ошибка" error="Допускается ввод не более 900 символов!" sqref="H19:H21 J19:J21 L19:L21" xr:uid="{00000000-0002-0000-3100-000000000000}">
      <formula1>900</formula1>
    </dataValidation>
    <dataValidation type="whole" allowBlank="1" showErrorMessage="1" errorTitle="Ошибка" error="Допускается ввод только неотрицательных целых чисел!" sqref="G19:G20 I19:I20 K19 K20" xr:uid="{00000000-0002-0000-3100-000001000000}">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xr:uid="{00000000-0002-0000-3100-000002000000}"/>
    <dataValidation type="decimal" allowBlank="1" showErrorMessage="1" errorTitle="Ошибка" error="Допускается ввод только неотрицательных чисел!" sqref="G21 I21 K21" xr:uid="{00000000-0002-0000-3100-000003000000}">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A82B22-554D-9F55-3E18-A4C84A221C52}">
  <sheetPr>
    <tabColor rgb="FFFFCC99"/>
  </sheetPr>
  <dimension ref="A1:CD118"/>
  <sheetViews>
    <sheetView showGridLines="0" workbookViewId="0"/>
  </sheetViews>
  <sheetFormatPr defaultColWidth="9.140625" defaultRowHeight="11.25" customHeight="1"/>
  <cols>
    <col min="1" max="1" width="32.5703125" style="23" customWidth="1"/>
    <col min="2" max="2" width="11" customWidth="1"/>
    <col min="4" max="4" width="26.5703125" customWidth="1"/>
    <col min="5" max="5" width="36.85546875" style="4" customWidth="1"/>
    <col min="6" max="6" width="23.5703125" style="4" customWidth="1"/>
    <col min="7" max="7" width="31.42578125" style="4" customWidth="1"/>
    <col min="8" max="8" width="40.85546875" style="4" customWidth="1"/>
    <col min="9" max="9" width="14.5703125" style="4" customWidth="1"/>
    <col min="10" max="10" width="26.85546875" style="4" customWidth="1"/>
    <col min="11" max="11" width="50" style="4" customWidth="1"/>
    <col min="12" max="12" width="52.42578125" style="4" customWidth="1"/>
    <col min="13" max="13" width="10.7109375" style="4" customWidth="1"/>
    <col min="14" max="14" width="55.140625" style="4" customWidth="1"/>
    <col min="15" max="15" width="31.85546875" style="4" customWidth="1"/>
    <col min="16" max="16" width="23.85546875" style="4" customWidth="1"/>
    <col min="17" max="17" width="46.5703125" style="4" customWidth="1"/>
    <col min="18" max="18" width="24" style="4" customWidth="1"/>
    <col min="19" max="19" width="20.5703125" style="4" customWidth="1"/>
    <col min="20" max="20" width="22" style="4" customWidth="1"/>
    <col min="21" max="22" width="26.42578125" style="4" customWidth="1"/>
    <col min="23" max="23" width="8.28515625" style="4" hidden="1" customWidth="1"/>
    <col min="24" max="24" width="59.7109375" style="4" customWidth="1"/>
    <col min="25" max="25" width="49.140625" style="4" customWidth="1"/>
    <col min="26" max="26" width="11.140625" style="4" customWidth="1"/>
    <col min="27" max="30" width="29" style="4" customWidth="1"/>
    <col min="31" max="31" width="9.140625" style="4"/>
    <col min="32" max="32" width="34.7109375" style="4" customWidth="1"/>
    <col min="33" max="33" width="9.140625" style="4"/>
    <col min="34" max="35" width="34.42578125" style="4" customWidth="1"/>
    <col min="36" max="36" width="9.140625" style="4"/>
    <col min="37" max="37" width="24.5703125" style="4" customWidth="1"/>
    <col min="38" max="38" width="9.140625" style="4"/>
    <col min="39" max="39" width="26.140625" style="4" customWidth="1"/>
    <col min="40" max="40" width="1.7109375" style="4" customWidth="1"/>
    <col min="41" max="41" width="9.140625" style="4"/>
    <col min="42" max="43" width="47.85546875" style="4" customWidth="1"/>
    <col min="44" max="44" width="1.7109375" style="4" customWidth="1"/>
    <col min="45" max="45" width="21.42578125" style="4" customWidth="1"/>
    <col min="46" max="46" width="1.7109375" style="4" customWidth="1"/>
    <col min="47" max="47" width="31.28515625" style="4" customWidth="1"/>
    <col min="48" max="48" width="1.7109375" style="4" customWidth="1"/>
    <col min="49" max="50" width="9.140625" style="4"/>
    <col min="51" max="51" width="3.7109375" style="4" customWidth="1"/>
    <col min="52" max="52" width="60.85546875" style="4" customWidth="1"/>
    <col min="53" max="53" width="49.28515625" style="4" customWidth="1"/>
    <col min="54" max="54" width="35.140625" style="4" customWidth="1"/>
    <col min="55" max="55" width="9.140625" style="4"/>
    <col min="56" max="56" width="1.7109375" style="4" customWidth="1"/>
    <col min="57" max="57" width="12.5703125" style="108" customWidth="1"/>
    <col min="58" max="58" width="14.28515625" style="108" customWidth="1"/>
    <col min="59" max="59" width="30.7109375" style="4" customWidth="1"/>
    <col min="60" max="60" width="40.7109375" style="108" customWidth="1"/>
    <col min="61" max="61" width="15" style="108" customWidth="1"/>
    <col min="62" max="62" width="40.7109375" style="108" customWidth="1"/>
    <col min="63" max="63" width="2.7109375" style="108" customWidth="1"/>
    <col min="64" max="64" width="44.7109375" style="108" customWidth="1"/>
    <col min="65" max="65" width="2.7109375" style="108" customWidth="1"/>
    <col min="66" max="66" width="40.7109375" style="108" customWidth="1"/>
    <col min="67" max="68" width="9.140625" style="4"/>
    <col min="69" max="69" width="18.140625" style="4" customWidth="1"/>
    <col min="70" max="70" width="57.85546875" style="4" customWidth="1"/>
    <col min="71" max="71" width="1.7109375" style="4" customWidth="1"/>
    <col min="72" max="72" width="22.5703125" style="4" customWidth="1"/>
    <col min="73" max="73" width="57.85546875" style="4" customWidth="1"/>
    <col min="74" max="74" width="1.7109375" style="4" customWidth="1"/>
    <col min="75" max="75" width="22.5703125" style="4" customWidth="1"/>
    <col min="76" max="76" width="57.85546875" style="4" customWidth="1"/>
    <col min="77" max="77" width="1.7109375" style="4" customWidth="1"/>
    <col min="78" max="78" width="22.5703125" style="4" customWidth="1"/>
    <col min="79" max="79" width="57.85546875" style="4" customWidth="1"/>
    <col min="80" max="81" width="9.140625" style="4"/>
    <col min="82" max="82" width="49.5703125" style="4" customWidth="1"/>
  </cols>
  <sheetData>
    <row r="1" spans="1:79" s="23" customFormat="1" ht="11.25" customHeight="1">
      <c r="A1" s="363" t="s">
        <v>1168</v>
      </c>
      <c r="B1" s="363" t="s">
        <v>1169</v>
      </c>
      <c r="C1" s="363" t="s">
        <v>1170</v>
      </c>
      <c r="D1" s="363" t="s">
        <v>1171</v>
      </c>
      <c r="E1" s="363" t="s">
        <v>1172</v>
      </c>
      <c r="F1" s="363" t="s">
        <v>1173</v>
      </c>
      <c r="G1" s="363" t="s">
        <v>1174</v>
      </c>
      <c r="H1" s="363" t="s">
        <v>1175</v>
      </c>
      <c r="I1" s="363" t="s">
        <v>1176</v>
      </c>
      <c r="J1" s="363" t="s">
        <v>1177</v>
      </c>
      <c r="K1" s="363" t="s">
        <v>1178</v>
      </c>
      <c r="L1" s="363" t="s">
        <v>1179</v>
      </c>
      <c r="M1" s="363"/>
      <c r="N1" s="363" t="s">
        <v>1180</v>
      </c>
      <c r="O1" s="363" t="s">
        <v>1181</v>
      </c>
      <c r="P1" s="363" t="s">
        <v>1182</v>
      </c>
      <c r="Q1" s="363" t="s">
        <v>1183</v>
      </c>
      <c r="R1" s="363" t="s">
        <v>1184</v>
      </c>
      <c r="S1" s="363" t="s">
        <v>1185</v>
      </c>
      <c r="T1" s="363" t="s">
        <v>1186</v>
      </c>
      <c r="U1" s="363" t="s">
        <v>1187</v>
      </c>
      <c r="V1" s="363"/>
      <c r="W1" s="31" t="s">
        <v>1188</v>
      </c>
      <c r="X1" s="363" t="s">
        <v>1189</v>
      </c>
      <c r="Y1" s="363" t="s">
        <v>1190</v>
      </c>
      <c r="Z1" s="363"/>
      <c r="AA1" s="363" t="s">
        <v>1191</v>
      </c>
      <c r="AB1" s="363"/>
      <c r="AC1" s="363" t="s">
        <v>1192</v>
      </c>
      <c r="AD1" s="363"/>
      <c r="AF1" s="363" t="s">
        <v>1193</v>
      </c>
      <c r="AH1" s="363" t="s">
        <v>1194</v>
      </c>
      <c r="AI1" s="363" t="s">
        <v>1195</v>
      </c>
      <c r="AK1" s="363" t="s">
        <v>1196</v>
      </c>
      <c r="AM1" s="363" t="s">
        <v>1197</v>
      </c>
      <c r="AP1" s="363" t="s">
        <v>1198</v>
      </c>
      <c r="AQ1" s="363" t="s">
        <v>1199</v>
      </c>
      <c r="AS1" s="363" t="s">
        <v>1200</v>
      </c>
      <c r="AU1" s="363" t="s">
        <v>1201</v>
      </c>
      <c r="AW1" s="363" t="s">
        <v>1202</v>
      </c>
      <c r="AX1" s="363" t="s">
        <v>1203</v>
      </c>
      <c r="AZ1" s="386" t="s">
        <v>1204</v>
      </c>
      <c r="BB1" s="363" t="s">
        <v>1205</v>
      </c>
      <c r="BC1" s="363"/>
      <c r="BE1" s="363" t="s">
        <v>1206</v>
      </c>
      <c r="BF1" s="363" t="s">
        <v>1207</v>
      </c>
      <c r="BH1" s="365" t="s">
        <v>811</v>
      </c>
      <c r="BI1" s="108"/>
      <c r="BJ1" s="366" t="s">
        <v>1208</v>
      </c>
      <c r="BK1" s="108"/>
      <c r="BL1" s="367" t="s">
        <v>910</v>
      </c>
      <c r="BM1" s="108"/>
      <c r="BN1" s="368" t="s">
        <v>1209</v>
      </c>
    </row>
    <row r="2" spans="1:79" ht="11.25" customHeight="1">
      <c r="A2" s="4" t="s">
        <v>1210</v>
      </c>
      <c r="B2" s="29">
        <v>2000</v>
      </c>
      <c r="C2" s="29">
        <v>2022</v>
      </c>
      <c r="D2" s="29" t="s">
        <v>66</v>
      </c>
      <c r="E2" s="27" t="s">
        <v>1211</v>
      </c>
      <c r="F2" s="27" t="s">
        <v>1212</v>
      </c>
      <c r="G2" s="27" t="s">
        <v>1213</v>
      </c>
      <c r="H2" s="27" t="s">
        <v>1214</v>
      </c>
      <c r="I2" s="27" t="s">
        <v>110</v>
      </c>
      <c r="J2" s="27" t="s">
        <v>1215</v>
      </c>
      <c r="K2" s="103" t="s">
        <v>1216</v>
      </c>
      <c r="L2" s="103"/>
      <c r="M2" s="103">
        <v>1</v>
      </c>
      <c r="N2" s="217" t="s">
        <v>1217</v>
      </c>
      <c r="O2" s="27" t="s">
        <v>1218</v>
      </c>
      <c r="P2" s="369" t="s">
        <v>38</v>
      </c>
      <c r="Q2" s="370" t="s">
        <v>1219</v>
      </c>
      <c r="R2" s="41" t="s">
        <v>1220</v>
      </c>
      <c r="S2" s="41" t="s">
        <v>1221</v>
      </c>
      <c r="T2" s="371" t="s">
        <v>1222</v>
      </c>
      <c r="U2" s="103" t="s">
        <v>1223</v>
      </c>
      <c r="V2" s="27">
        <v>1</v>
      </c>
      <c r="W2" s="27"/>
      <c r="X2" s="27" t="s">
        <v>1224</v>
      </c>
      <c r="Y2" s="29" t="s">
        <v>1225</v>
      </c>
      <c r="Z2" s="169"/>
      <c r="AA2" s="29" t="s">
        <v>1226</v>
      </c>
      <c r="AB2" s="31" t="s">
        <v>1226</v>
      </c>
      <c r="AC2" s="29" t="s">
        <v>1227</v>
      </c>
      <c r="AD2" s="31" t="s">
        <v>1227</v>
      </c>
      <c r="AF2" s="27" t="s">
        <v>1223</v>
      </c>
      <c r="AH2" s="27" t="s">
        <v>1228</v>
      </c>
      <c r="AI2" s="27" t="s">
        <v>1228</v>
      </c>
      <c r="AK2" s="27" t="s">
        <v>1229</v>
      </c>
      <c r="AM2" s="27" t="s">
        <v>1230</v>
      </c>
      <c r="AP2" s="22" t="s">
        <v>1224</v>
      </c>
      <c r="AQ2" s="29" t="s">
        <v>1224</v>
      </c>
      <c r="AS2" s="29" t="s">
        <v>1231</v>
      </c>
      <c r="AU2" s="364" t="s">
        <v>1232</v>
      </c>
      <c r="AW2" s="364" t="s">
        <v>1233</v>
      </c>
      <c r="AX2" s="364" t="s">
        <v>1233</v>
      </c>
      <c r="AZ2" s="364" t="s">
        <v>53</v>
      </c>
      <c r="BB2" s="364" t="s">
        <v>1234</v>
      </c>
      <c r="BC2" s="364" t="s">
        <v>1235</v>
      </c>
      <c r="BE2" s="364">
        <v>2000</v>
      </c>
      <c r="BF2" s="364" t="s">
        <v>1236</v>
      </c>
    </row>
    <row r="3" spans="1:79" ht="11.25" customHeight="1">
      <c r="A3" s="4" t="s">
        <v>1237</v>
      </c>
      <c r="B3" s="29">
        <v>2001</v>
      </c>
      <c r="C3" s="29">
        <v>2023</v>
      </c>
      <c r="D3" s="29" t="s">
        <v>19</v>
      </c>
      <c r="E3" s="27" t="s">
        <v>1238</v>
      </c>
      <c r="F3" s="27" t="s">
        <v>35</v>
      </c>
      <c r="G3" s="27" t="s">
        <v>1239</v>
      </c>
      <c r="H3" s="27" t="s">
        <v>55</v>
      </c>
      <c r="I3" s="27" t="s">
        <v>111</v>
      </c>
      <c r="J3" s="27" t="s">
        <v>559</v>
      </c>
      <c r="K3" s="103" t="s">
        <v>1240</v>
      </c>
      <c r="L3" s="103">
        <f>IFERROR(MATCH(K3,OFFER_METHOD,0),0)</f>
        <v>0</v>
      </c>
      <c r="M3" s="103">
        <v>2</v>
      </c>
      <c r="N3" s="217" t="s">
        <v>1241</v>
      </c>
      <c r="O3" s="27" t="s">
        <v>1242</v>
      </c>
      <c r="P3" s="369" t="s">
        <v>1243</v>
      </c>
      <c r="Q3" s="370" t="s">
        <v>1244</v>
      </c>
      <c r="R3" s="41" t="s">
        <v>1245</v>
      </c>
      <c r="S3" s="41" t="s">
        <v>1246</v>
      </c>
      <c r="T3" s="371" t="s">
        <v>1247</v>
      </c>
      <c r="U3" s="103" t="s">
        <v>1248</v>
      </c>
      <c r="V3" s="27">
        <v>2</v>
      </c>
      <c r="W3" s="27"/>
      <c r="X3" s="27" t="s">
        <v>1249</v>
      </c>
      <c r="Y3" s="29" t="s">
        <v>1225</v>
      </c>
      <c r="Z3" s="169"/>
      <c r="AA3" s="29" t="s">
        <v>1250</v>
      </c>
      <c r="AB3" s="31" t="s">
        <v>1250</v>
      </c>
      <c r="AC3" s="29" t="s">
        <v>1251</v>
      </c>
      <c r="AD3" s="31" t="s">
        <v>1251</v>
      </c>
      <c r="AF3" s="27" t="s">
        <v>1248</v>
      </c>
      <c r="AH3" s="27" t="s">
        <v>1252</v>
      </c>
      <c r="AI3" s="27" t="s">
        <v>1253</v>
      </c>
      <c r="AK3" s="27" t="s">
        <v>1254</v>
      </c>
      <c r="AM3" s="27" t="s">
        <v>1255</v>
      </c>
      <c r="AP3" s="22" t="s">
        <v>1256</v>
      </c>
      <c r="AQ3" s="29" t="s">
        <v>1256</v>
      </c>
      <c r="AS3" s="29" t="s">
        <v>1257</v>
      </c>
      <c r="AU3" s="364" t="s">
        <v>1258</v>
      </c>
      <c r="AW3" s="364" t="s">
        <v>1259</v>
      </c>
      <c r="AX3" s="364" t="s">
        <v>1259</v>
      </c>
      <c r="AZ3" s="364" t="s">
        <v>1260</v>
      </c>
      <c r="BB3" s="364" t="s">
        <v>1261</v>
      </c>
      <c r="BC3" s="364" t="s">
        <v>1235</v>
      </c>
      <c r="BE3" s="364">
        <v>2001</v>
      </c>
      <c r="BF3" s="364" t="s">
        <v>1262</v>
      </c>
      <c r="BH3" s="363" t="s">
        <v>1263</v>
      </c>
      <c r="BJ3" s="363" t="s">
        <v>1264</v>
      </c>
      <c r="BL3" s="363" t="s">
        <v>1265</v>
      </c>
      <c r="BN3" s="363" t="s">
        <v>1266</v>
      </c>
      <c r="BR3" s="363" t="s">
        <v>1267</v>
      </c>
      <c r="BS3" s="21"/>
      <c r="BT3" s="108"/>
      <c r="BU3" s="363" t="s">
        <v>1268</v>
      </c>
      <c r="BV3" s="108"/>
      <c r="BW3"/>
      <c r="BX3" s="363" t="s">
        <v>1269</v>
      </c>
      <c r="CA3" s="363" t="s">
        <v>1270</v>
      </c>
    </row>
    <row r="4" spans="1:79" ht="11.25" customHeight="1">
      <c r="A4" s="4" t="s">
        <v>1271</v>
      </c>
      <c r="B4" s="29">
        <v>2002</v>
      </c>
      <c r="C4" s="29">
        <v>2024</v>
      </c>
      <c r="E4" s="27" t="s">
        <v>1272</v>
      </c>
      <c r="F4" s="27" t="s">
        <v>1273</v>
      </c>
      <c r="H4" s="27" t="s">
        <v>1274</v>
      </c>
      <c r="I4" s="27" t="s">
        <v>90</v>
      </c>
      <c r="J4" s="27" t="s">
        <v>1275</v>
      </c>
      <c r="K4" s="103" t="s">
        <v>1276</v>
      </c>
      <c r="L4" s="103">
        <f>IFERROR(MATCH(K4,OFFER_METHOD,0),0)</f>
        <v>0</v>
      </c>
      <c r="M4" s="103">
        <v>3</v>
      </c>
      <c r="N4" s="217" t="s">
        <v>1277</v>
      </c>
      <c r="O4" s="27" t="s">
        <v>1278</v>
      </c>
      <c r="Q4" s="370" t="s">
        <v>1279</v>
      </c>
      <c r="R4" s="41" t="s">
        <v>1280</v>
      </c>
      <c r="S4" s="41" t="s">
        <v>1281</v>
      </c>
      <c r="T4" s="371" t="s">
        <v>1282</v>
      </c>
      <c r="U4" s="103" t="s">
        <v>1283</v>
      </c>
      <c r="V4" s="27">
        <v>3</v>
      </c>
      <c r="W4" s="27"/>
      <c r="X4" s="27" t="s">
        <v>1284</v>
      </c>
      <c r="Y4" s="29" t="s">
        <v>1225</v>
      </c>
      <c r="AC4" s="29" t="s">
        <v>1285</v>
      </c>
      <c r="AD4" s="31" t="s">
        <v>1285</v>
      </c>
      <c r="AF4" s="27" t="s">
        <v>1283</v>
      </c>
      <c r="AH4" s="27" t="s">
        <v>1286</v>
      </c>
      <c r="AK4" s="27" t="s">
        <v>1287</v>
      </c>
      <c r="AM4" s="27" t="s">
        <v>1288</v>
      </c>
      <c r="AP4" s="22" t="s">
        <v>1249</v>
      </c>
      <c r="AQ4" s="29" t="s">
        <v>1249</v>
      </c>
      <c r="AS4" s="29" t="s">
        <v>1289</v>
      </c>
      <c r="AU4" s="364" t="s">
        <v>1290</v>
      </c>
      <c r="AW4" s="364" t="s">
        <v>1291</v>
      </c>
      <c r="AX4" s="364" t="s">
        <v>1291</v>
      </c>
      <c r="AZ4" s="364" t="s">
        <v>1292</v>
      </c>
      <c r="BB4" s="364" t="s">
        <v>1293</v>
      </c>
      <c r="BC4" s="364" t="s">
        <v>1294</v>
      </c>
      <c r="BE4" s="364">
        <v>2002</v>
      </c>
      <c r="BF4" s="364" t="s">
        <v>1295</v>
      </c>
      <c r="BH4" s="364" t="s">
        <v>1296</v>
      </c>
      <c r="BJ4" s="364" t="s">
        <v>1296</v>
      </c>
      <c r="BL4" s="364" t="s">
        <v>1296</v>
      </c>
      <c r="BN4" s="364" t="s">
        <v>1296</v>
      </c>
      <c r="BQ4" s="22" t="s">
        <v>1297</v>
      </c>
      <c r="BR4" s="22" t="s">
        <v>1298</v>
      </c>
      <c r="BS4" s="22"/>
      <c r="BT4" s="22" t="s">
        <v>1299</v>
      </c>
      <c r="BU4" s="22" t="s">
        <v>1300</v>
      </c>
      <c r="BV4" s="108"/>
      <c r="BW4" s="22" t="s">
        <v>1301</v>
      </c>
      <c r="BX4" s="22" t="s">
        <v>1302</v>
      </c>
      <c r="BZ4" s="22" t="s">
        <v>1303</v>
      </c>
      <c r="CA4" s="22" t="s">
        <v>1304</v>
      </c>
    </row>
    <row r="5" spans="1:79" ht="11.25" customHeight="1">
      <c r="A5" s="4" t="s">
        <v>1305</v>
      </c>
      <c r="B5" s="29">
        <v>2003</v>
      </c>
      <c r="C5" s="29">
        <v>2025</v>
      </c>
      <c r="E5" s="27" t="s">
        <v>1306</v>
      </c>
      <c r="F5" s="27" t="s">
        <v>1307</v>
      </c>
      <c r="H5" s="27" t="s">
        <v>1308</v>
      </c>
      <c r="I5" s="27" t="s">
        <v>91</v>
      </c>
      <c r="K5" s="103" t="s">
        <v>1309</v>
      </c>
      <c r="L5" s="103">
        <f>IFERROR(MATCH(K5,OFFER_METHOD,0),0)</f>
        <v>0</v>
      </c>
      <c r="M5" s="103">
        <v>4</v>
      </c>
      <c r="N5" s="217" t="s">
        <v>1310</v>
      </c>
      <c r="O5" s="27" t="s">
        <v>1311</v>
      </c>
      <c r="Q5" s="370" t="s">
        <v>1312</v>
      </c>
      <c r="R5" s="41" t="s">
        <v>1313</v>
      </c>
      <c r="T5" s="27" t="s">
        <v>1314</v>
      </c>
      <c r="U5" s="103" t="s">
        <v>1315</v>
      </c>
      <c r="V5" s="27">
        <v>4</v>
      </c>
      <c r="W5" s="27"/>
      <c r="X5" s="27" t="s">
        <v>171</v>
      </c>
      <c r="Y5" s="29" t="s">
        <v>1316</v>
      </c>
      <c r="Z5" s="4">
        <v>1</v>
      </c>
      <c r="AF5" s="27" t="s">
        <v>1317</v>
      </c>
      <c r="AH5" s="27" t="s">
        <v>1318</v>
      </c>
      <c r="AK5" s="27" t="s">
        <v>1319</v>
      </c>
      <c r="AM5" s="27" t="s">
        <v>1320</v>
      </c>
      <c r="AP5" s="22" t="s">
        <v>171</v>
      </c>
      <c r="AQ5" s="29" t="s">
        <v>171</v>
      </c>
      <c r="AU5" s="364" t="s">
        <v>1321</v>
      </c>
      <c r="AW5" s="364" t="s">
        <v>1322</v>
      </c>
      <c r="AX5" s="364" t="s">
        <v>1322</v>
      </c>
      <c r="AZ5" s="364" t="s">
        <v>1323</v>
      </c>
      <c r="BB5" s="364" t="s">
        <v>1324</v>
      </c>
      <c r="BC5" s="364" t="s">
        <v>1325</v>
      </c>
      <c r="BE5" s="364">
        <v>2003</v>
      </c>
      <c r="BF5" s="364" t="s">
        <v>1326</v>
      </c>
      <c r="BH5" s="364" t="s">
        <v>1327</v>
      </c>
      <c r="BJ5" s="364" t="s">
        <v>1327</v>
      </c>
      <c r="BL5" s="364" t="s">
        <v>1327</v>
      </c>
      <c r="BN5" s="364" t="s">
        <v>1328</v>
      </c>
      <c r="BQ5" s="364">
        <v>4213775</v>
      </c>
      <c r="BR5" s="364" t="s">
        <v>1224</v>
      </c>
      <c r="BS5" s="22"/>
      <c r="BT5" s="364">
        <v>64236871</v>
      </c>
      <c r="BU5" s="364" t="s">
        <v>232</v>
      </c>
      <c r="BV5" s="108"/>
      <c r="BW5" s="364">
        <v>4213767</v>
      </c>
      <c r="BX5" s="364" t="s">
        <v>1329</v>
      </c>
      <c r="BZ5" s="364">
        <v>64237509</v>
      </c>
      <c r="CA5" s="437" t="s">
        <v>1330</v>
      </c>
    </row>
    <row r="6" spans="1:79" ht="11.25" customHeight="1">
      <c r="A6" s="4" t="s">
        <v>1331</v>
      </c>
      <c r="B6" s="29">
        <v>2004</v>
      </c>
      <c r="C6" s="29">
        <v>2026</v>
      </c>
      <c r="E6" s="27" t="s">
        <v>1332</v>
      </c>
      <c r="F6" s="22"/>
      <c r="H6" s="27" t="s">
        <v>1333</v>
      </c>
      <c r="I6" s="27" t="s">
        <v>112</v>
      </c>
      <c r="J6" s="363" t="s">
        <v>1334</v>
      </c>
      <c r="L6" s="103">
        <f>SUM(kind_of_control_method_filter)</f>
        <v>0</v>
      </c>
      <c r="N6" s="217" t="s">
        <v>1335</v>
      </c>
      <c r="O6" s="27" t="s">
        <v>1336</v>
      </c>
      <c r="R6" s="41" t="s">
        <v>1219</v>
      </c>
      <c r="T6" s="27" t="s">
        <v>1337</v>
      </c>
      <c r="U6" s="103" t="s">
        <v>1317</v>
      </c>
      <c r="V6" s="27">
        <v>5</v>
      </c>
      <c r="W6" s="27"/>
      <c r="X6" s="29" t="s">
        <v>177</v>
      </c>
      <c r="Y6" s="29" t="s">
        <v>1338</v>
      </c>
      <c r="AH6" s="27" t="s">
        <v>1339</v>
      </c>
      <c r="AK6" s="27" t="s">
        <v>1340</v>
      </c>
      <c r="AM6" s="27" t="s">
        <v>1341</v>
      </c>
      <c r="AP6" s="22" t="s">
        <v>177</v>
      </c>
      <c r="AQ6" s="29" t="s">
        <v>177</v>
      </c>
      <c r="AU6" s="364" t="s">
        <v>1342</v>
      </c>
      <c r="AW6" s="364" t="s">
        <v>1343</v>
      </c>
      <c r="AX6" s="364" t="s">
        <v>1343</v>
      </c>
      <c r="BB6" s="364" t="s">
        <v>1344</v>
      </c>
      <c r="BC6" s="364" t="s">
        <v>1325</v>
      </c>
      <c r="BE6" s="364">
        <v>2004</v>
      </c>
      <c r="BF6" s="364" t="s">
        <v>1345</v>
      </c>
      <c r="BH6" s="364" t="s">
        <v>1346</v>
      </c>
      <c r="BJ6" s="364" t="s">
        <v>1347</v>
      </c>
      <c r="BL6" s="364" t="s">
        <v>1347</v>
      </c>
      <c r="BN6" s="364" t="s">
        <v>1348</v>
      </c>
      <c r="BQ6" s="364">
        <v>4213784</v>
      </c>
      <c r="BR6" s="437" t="s">
        <v>1256</v>
      </c>
      <c r="BS6" s="77"/>
      <c r="BT6" s="364">
        <v>64236872</v>
      </c>
      <c r="BU6" s="364" t="s">
        <v>237</v>
      </c>
      <c r="BV6" s="108"/>
      <c r="BW6" s="364">
        <v>4213768</v>
      </c>
      <c r="BX6" s="364" t="s">
        <v>257</v>
      </c>
      <c r="BZ6" s="364">
        <v>64237510</v>
      </c>
      <c r="CA6" s="364" t="s">
        <v>1349</v>
      </c>
    </row>
    <row r="7" spans="1:79" ht="11.25" customHeight="1">
      <c r="A7" s="4" t="s">
        <v>1350</v>
      </c>
      <c r="B7" s="29">
        <v>2005</v>
      </c>
      <c r="E7" s="27" t="s">
        <v>1351</v>
      </c>
      <c r="F7" s="22"/>
      <c r="H7" s="27" t="s">
        <v>1352</v>
      </c>
      <c r="I7" s="27" t="s">
        <v>92</v>
      </c>
      <c r="J7" s="27" t="s">
        <v>1353</v>
      </c>
      <c r="N7" s="250" t="s">
        <v>1354</v>
      </c>
      <c r="O7" s="27" t="s">
        <v>1355</v>
      </c>
      <c r="U7" s="103" t="s">
        <v>19</v>
      </c>
      <c r="V7" s="31" t="s">
        <v>92</v>
      </c>
      <c r="W7" s="27"/>
      <c r="X7" s="29" t="s">
        <v>183</v>
      </c>
      <c r="Y7" s="29" t="s">
        <v>1316</v>
      </c>
      <c r="AH7" s="27" t="s">
        <v>1356</v>
      </c>
      <c r="AK7" s="27" t="s">
        <v>1357</v>
      </c>
      <c r="AM7" s="27" t="s">
        <v>1358</v>
      </c>
      <c r="AP7" s="22" t="s">
        <v>183</v>
      </c>
      <c r="AQ7" s="29" t="s">
        <v>183</v>
      </c>
      <c r="AU7" s="364" t="s">
        <v>1359</v>
      </c>
      <c r="AW7" s="364" t="s">
        <v>1360</v>
      </c>
      <c r="AX7" s="364" t="s">
        <v>1360</v>
      </c>
      <c r="AZ7" s="363" t="s">
        <v>1361</v>
      </c>
      <c r="BB7" s="364" t="s">
        <v>1362</v>
      </c>
      <c r="BC7" s="364" t="s">
        <v>1325</v>
      </c>
      <c r="BE7" s="364">
        <v>2005</v>
      </c>
      <c r="BF7" s="364" t="s">
        <v>1363</v>
      </c>
      <c r="BH7" s="364" t="s">
        <v>1364</v>
      </c>
      <c r="BJ7" s="364" t="s">
        <v>1346</v>
      </c>
      <c r="BL7" s="364" t="s">
        <v>1346</v>
      </c>
      <c r="BN7" s="364" t="s">
        <v>1365</v>
      </c>
      <c r="BQ7" s="364">
        <v>4213781</v>
      </c>
      <c r="BR7" s="364" t="s">
        <v>1249</v>
      </c>
      <c r="BS7" s="22"/>
      <c r="BT7" s="364">
        <v>64236873</v>
      </c>
      <c r="BU7" s="364" t="s">
        <v>242</v>
      </c>
      <c r="BV7" s="108"/>
      <c r="BW7" s="364">
        <v>4213769</v>
      </c>
      <c r="BX7" s="364" t="s">
        <v>1366</v>
      </c>
      <c r="BZ7" s="364">
        <v>64237511</v>
      </c>
      <c r="CA7" s="364" t="s">
        <v>272</v>
      </c>
    </row>
    <row r="8" spans="1:79" ht="11.25" customHeight="1">
      <c r="A8" s="4" t="s">
        <v>1367</v>
      </c>
      <c r="B8" s="29">
        <v>2006</v>
      </c>
      <c r="E8" s="27" t="s">
        <v>1368</v>
      </c>
      <c r="F8" s="22"/>
      <c r="H8" s="27" t="s">
        <v>1369</v>
      </c>
      <c r="I8" s="27" t="s">
        <v>93</v>
      </c>
      <c r="J8" s="27" t="s">
        <v>1370</v>
      </c>
      <c r="N8" s="103" t="s">
        <v>1371</v>
      </c>
      <c r="O8" s="27" t="s">
        <v>1372</v>
      </c>
      <c r="V8" s="31" t="s">
        <v>93</v>
      </c>
      <c r="W8" s="27"/>
      <c r="X8" s="29" t="s">
        <v>189</v>
      </c>
      <c r="Y8" s="29" t="s">
        <v>1316</v>
      </c>
      <c r="AK8" s="27" t="s">
        <v>1373</v>
      </c>
      <c r="AP8" s="22" t="s">
        <v>189</v>
      </c>
      <c r="AQ8" s="29" t="s">
        <v>189</v>
      </c>
      <c r="AU8" s="364" t="s">
        <v>1374</v>
      </c>
      <c r="AW8" s="364" t="s">
        <v>1375</v>
      </c>
      <c r="AX8" s="364" t="s">
        <v>1375</v>
      </c>
      <c r="AZ8" s="364" t="s">
        <v>1376</v>
      </c>
      <c r="BB8" s="364" t="s">
        <v>1377</v>
      </c>
      <c r="BC8" s="364" t="s">
        <v>1325</v>
      </c>
      <c r="BE8" s="364">
        <v>2006</v>
      </c>
      <c r="BF8" s="364" t="s">
        <v>1378</v>
      </c>
      <c r="BH8" s="364" t="s">
        <v>1379</v>
      </c>
      <c r="BJ8" s="364" t="s">
        <v>1380</v>
      </c>
      <c r="BL8" s="364" t="s">
        <v>1380</v>
      </c>
      <c r="BN8" s="364" t="s">
        <v>1381</v>
      </c>
      <c r="BQ8" s="364">
        <v>4213776</v>
      </c>
      <c r="BR8" s="364" t="s">
        <v>171</v>
      </c>
      <c r="BS8" s="22"/>
      <c r="BT8" s="364">
        <v>64236874</v>
      </c>
      <c r="BU8" s="437" t="s">
        <v>1382</v>
      </c>
      <c r="BV8" s="108"/>
      <c r="BW8" s="364">
        <v>4213770</v>
      </c>
      <c r="BX8" s="437" t="s">
        <v>1383</v>
      </c>
      <c r="BZ8" s="364">
        <v>64237512</v>
      </c>
      <c r="CA8" s="364" t="s">
        <v>267</v>
      </c>
    </row>
    <row r="9" spans="1:79" ht="11.25" customHeight="1">
      <c r="A9" s="4" t="s">
        <v>1384</v>
      </c>
      <c r="B9" s="29">
        <v>2007</v>
      </c>
      <c r="E9" s="27" t="s">
        <v>1385</v>
      </c>
      <c r="F9" s="22"/>
      <c r="G9" s="363" t="s">
        <v>1386</v>
      </c>
      <c r="H9" s="363" t="s">
        <v>1387</v>
      </c>
      <c r="I9" s="27" t="s">
        <v>113</v>
      </c>
      <c r="O9" s="27" t="s">
        <v>1388</v>
      </c>
      <c r="V9" s="31" t="s">
        <v>113</v>
      </c>
      <c r="W9" s="27"/>
      <c r="X9" s="29" t="s">
        <v>195</v>
      </c>
      <c r="Y9" s="29" t="s">
        <v>1225</v>
      </c>
      <c r="Z9" s="4">
        <v>1</v>
      </c>
      <c r="AK9" s="27" t="s">
        <v>1389</v>
      </c>
      <c r="AP9" s="22" t="s">
        <v>1390</v>
      </c>
      <c r="AQ9" s="29" t="s">
        <v>1390</v>
      </c>
      <c r="AW9" s="364" t="s">
        <v>1391</v>
      </c>
      <c r="AX9" s="364" t="s">
        <v>1391</v>
      </c>
      <c r="AZ9" s="364" t="s">
        <v>1392</v>
      </c>
      <c r="BB9" s="364" t="s">
        <v>1393</v>
      </c>
      <c r="BC9" s="364" t="s">
        <v>1325</v>
      </c>
      <c r="BE9" s="364">
        <v>2007</v>
      </c>
      <c r="BF9" s="364" t="s">
        <v>1394</v>
      </c>
      <c r="BH9" s="364" t="s">
        <v>1395</v>
      </c>
      <c r="BJ9" s="364" t="s">
        <v>1396</v>
      </c>
      <c r="BL9" s="364" t="s">
        <v>1396</v>
      </c>
      <c r="BN9" s="364" t="s">
        <v>1397</v>
      </c>
      <c r="BQ9" s="364">
        <v>4213777</v>
      </c>
      <c r="BR9" s="364" t="s">
        <v>177</v>
      </c>
      <c r="BS9" s="22"/>
      <c r="BT9" s="364">
        <v>64236875</v>
      </c>
      <c r="BU9" s="364" t="s">
        <v>247</v>
      </c>
      <c r="BV9" s="108"/>
      <c r="BW9"/>
      <c r="BX9"/>
    </row>
    <row r="10" spans="1:79" ht="11.25" customHeight="1">
      <c r="A10" s="4" t="s">
        <v>1398</v>
      </c>
      <c r="B10" s="29">
        <v>2008</v>
      </c>
      <c r="E10" s="27" t="s">
        <v>1399</v>
      </c>
      <c r="F10" s="22"/>
      <c r="G10" s="27" t="s">
        <v>1400</v>
      </c>
      <c r="H10" s="27" t="s">
        <v>1401</v>
      </c>
      <c r="I10" s="27" t="s">
        <v>153</v>
      </c>
      <c r="J10" s="363" t="s">
        <v>1402</v>
      </c>
      <c r="K10" s="363" t="s">
        <v>1403</v>
      </c>
      <c r="O10" s="27" t="s">
        <v>1404</v>
      </c>
      <c r="V10" s="90" t="s">
        <v>153</v>
      </c>
      <c r="W10" s="274"/>
      <c r="X10" s="274" t="s">
        <v>1405</v>
      </c>
      <c r="Y10" s="100" t="s">
        <v>1406</v>
      </c>
      <c r="AP10" s="22" t="s">
        <v>1405</v>
      </c>
      <c r="AQ10" s="29" t="s">
        <v>1405</v>
      </c>
      <c r="AW10" s="364" t="s">
        <v>1407</v>
      </c>
      <c r="AX10" s="364" t="s">
        <v>1407</v>
      </c>
      <c r="AZ10" s="364" t="s">
        <v>1408</v>
      </c>
      <c r="BB10" s="364" t="s">
        <v>1409</v>
      </c>
      <c r="BC10" s="364" t="s">
        <v>1325</v>
      </c>
      <c r="BE10" s="364">
        <v>2008</v>
      </c>
      <c r="BF10" s="364" t="s">
        <v>1410</v>
      </c>
      <c r="BH10" s="364" t="s">
        <v>1411</v>
      </c>
      <c r="BJ10" s="364" t="s">
        <v>1412</v>
      </c>
      <c r="BL10" s="364" t="s">
        <v>1412</v>
      </c>
      <c r="BN10" s="364" t="s">
        <v>1413</v>
      </c>
      <c r="BQ10" s="364">
        <v>4213778</v>
      </c>
      <c r="BR10" s="364" t="s">
        <v>183</v>
      </c>
      <c r="BS10" s="22"/>
      <c r="BT10" s="364">
        <v>64236876</v>
      </c>
      <c r="BU10" s="364" t="s">
        <v>227</v>
      </c>
      <c r="BV10" s="108"/>
      <c r="BW10"/>
      <c r="BX10"/>
    </row>
    <row r="11" spans="1:79" ht="11.25" customHeight="1">
      <c r="A11" s="4" t="s">
        <v>1414</v>
      </c>
      <c r="B11" s="29">
        <v>2009</v>
      </c>
      <c r="E11" s="27" t="s">
        <v>1415</v>
      </c>
      <c r="F11" s="22"/>
      <c r="G11" s="27" t="s">
        <v>1416</v>
      </c>
      <c r="H11" s="27" t="s">
        <v>1417</v>
      </c>
      <c r="I11" s="27" t="s">
        <v>154</v>
      </c>
      <c r="J11" s="27" t="s">
        <v>1418</v>
      </c>
      <c r="K11" s="209" t="s">
        <v>1419</v>
      </c>
      <c r="O11" s="27" t="s">
        <v>1420</v>
      </c>
      <c r="V11" s="31" t="s">
        <v>154</v>
      </c>
      <c r="W11" s="31"/>
      <c r="X11" s="27" t="s">
        <v>1390</v>
      </c>
      <c r="Y11" s="29" t="s">
        <v>1421</v>
      </c>
      <c r="AP11" s="22" t="s">
        <v>195</v>
      </c>
      <c r="AQ11" s="29" t="s">
        <v>195</v>
      </c>
      <c r="AW11" s="364" t="s">
        <v>1422</v>
      </c>
      <c r="AX11" s="364" t="s">
        <v>1422</v>
      </c>
      <c r="AZ11" s="364" t="s">
        <v>1423</v>
      </c>
      <c r="BB11" s="364" t="s">
        <v>1424</v>
      </c>
      <c r="BC11" s="364" t="s">
        <v>1325</v>
      </c>
      <c r="BE11" s="364">
        <v>2009</v>
      </c>
      <c r="BF11" s="364" t="s">
        <v>1425</v>
      </c>
      <c r="BH11" s="364" t="s">
        <v>1426</v>
      </c>
      <c r="BJ11" s="364" t="s">
        <v>1395</v>
      </c>
      <c r="BL11" s="364" t="s">
        <v>1395</v>
      </c>
      <c r="BN11" s="364" t="s">
        <v>1427</v>
      </c>
      <c r="BQ11" s="364">
        <v>4213780</v>
      </c>
      <c r="BR11" s="364" t="s">
        <v>189</v>
      </c>
      <c r="BS11" s="22"/>
      <c r="BW11"/>
      <c r="BX11"/>
    </row>
    <row r="12" spans="1:79" ht="11.25" customHeight="1">
      <c r="A12" s="4" t="s">
        <v>1428</v>
      </c>
      <c r="B12" s="29">
        <v>2010</v>
      </c>
      <c r="E12" s="27" t="s">
        <v>1429</v>
      </c>
      <c r="F12" s="22"/>
      <c r="G12" s="27" t="s">
        <v>1417</v>
      </c>
      <c r="I12" s="27" t="s">
        <v>155</v>
      </c>
      <c r="J12" s="27" t="s">
        <v>1430</v>
      </c>
      <c r="K12" s="209" t="s">
        <v>1431</v>
      </c>
      <c r="O12" s="27" t="s">
        <v>1219</v>
      </c>
      <c r="V12" s="31" t="s">
        <v>155</v>
      </c>
      <c r="W12" s="29"/>
      <c r="X12" s="27" t="s">
        <v>1432</v>
      </c>
      <c r="Y12" s="29" t="s">
        <v>1225</v>
      </c>
      <c r="AP12" s="22"/>
      <c r="AW12" s="364" t="s">
        <v>154</v>
      </c>
      <c r="AX12" s="364" t="s">
        <v>154</v>
      </c>
      <c r="AZ12" s="364" t="s">
        <v>1433</v>
      </c>
      <c r="BB12" s="364" t="s">
        <v>1434</v>
      </c>
      <c r="BC12" s="364" t="s">
        <v>1325</v>
      </c>
      <c r="BE12" s="364">
        <v>2010</v>
      </c>
      <c r="BF12" s="364" t="s">
        <v>1435</v>
      </c>
      <c r="BH12" s="364" t="s">
        <v>1436</v>
      </c>
      <c r="BJ12" s="364" t="s">
        <v>1437</v>
      </c>
      <c r="BL12" s="364" t="s">
        <v>1437</v>
      </c>
      <c r="BN12" s="364" t="s">
        <v>1438</v>
      </c>
      <c r="BQ12" s="364">
        <v>4213779</v>
      </c>
      <c r="BR12" s="364" t="s">
        <v>1390</v>
      </c>
      <c r="BS12" s="22"/>
      <c r="BT12" s="108"/>
      <c r="BU12" s="108"/>
      <c r="BV12" s="108"/>
      <c r="BW12"/>
      <c r="BX12"/>
    </row>
    <row r="13" spans="1:79" ht="11.25" customHeight="1">
      <c r="A13" s="4" t="s">
        <v>1439</v>
      </c>
      <c r="B13" s="29">
        <v>2011</v>
      </c>
      <c r="E13" s="27" t="s">
        <v>1440</v>
      </c>
      <c r="F13" s="22"/>
      <c r="I13" s="27" t="s">
        <v>156</v>
      </c>
      <c r="K13" s="209" t="s">
        <v>1389</v>
      </c>
      <c r="V13" s="31" t="s">
        <v>156</v>
      </c>
      <c r="W13" s="29"/>
      <c r="X13" s="29"/>
      <c r="Y13" s="29"/>
      <c r="AW13" s="364" t="s">
        <v>155</v>
      </c>
      <c r="AX13" s="364" t="s">
        <v>155</v>
      </c>
      <c r="BB13" s="364" t="s">
        <v>1441</v>
      </c>
      <c r="BC13" s="364" t="s">
        <v>1442</v>
      </c>
      <c r="BE13" s="364">
        <v>2011</v>
      </c>
      <c r="BF13" s="364" t="s">
        <v>1443</v>
      </c>
      <c r="BH13" s="364" t="s">
        <v>1444</v>
      </c>
      <c r="BJ13" s="364" t="s">
        <v>1426</v>
      </c>
      <c r="BL13" s="364" t="s">
        <v>1426</v>
      </c>
      <c r="BN13" s="364" t="s">
        <v>1445</v>
      </c>
      <c r="BQ13" s="364">
        <v>4213783</v>
      </c>
      <c r="BR13" s="364" t="s">
        <v>1405</v>
      </c>
      <c r="BS13" s="22"/>
      <c r="BT13" s="108"/>
      <c r="BU13" s="108"/>
      <c r="BV13" s="108"/>
      <c r="BW13" s="108"/>
      <c r="BX13"/>
    </row>
    <row r="14" spans="1:79" ht="11.25" customHeight="1">
      <c r="A14" s="4" t="s">
        <v>1446</v>
      </c>
      <c r="B14" s="29">
        <v>2012</v>
      </c>
      <c r="I14" s="27" t="s">
        <v>157</v>
      </c>
      <c r="J14" s="363" t="s">
        <v>1447</v>
      </c>
      <c r="N14" s="363" t="s">
        <v>1448</v>
      </c>
      <c r="V14" s="27">
        <v>13</v>
      </c>
      <c r="W14" s="27"/>
      <c r="X14" s="27" t="s">
        <v>1256</v>
      </c>
      <c r="Y14" s="29" t="s">
        <v>1225</v>
      </c>
      <c r="AW14" s="364" t="s">
        <v>156</v>
      </c>
      <c r="AX14" s="364" t="s">
        <v>156</v>
      </c>
      <c r="AZ14" s="363" t="s">
        <v>1449</v>
      </c>
      <c r="BB14" s="364" t="s">
        <v>1450</v>
      </c>
      <c r="BC14" s="364" t="s">
        <v>1442</v>
      </c>
      <c r="BE14" s="364">
        <v>2012</v>
      </c>
      <c r="BH14" s="364" t="s">
        <v>1365</v>
      </c>
      <c r="BJ14" s="413" t="s">
        <v>1451</v>
      </c>
      <c r="BL14" s="413" t="s">
        <v>1451</v>
      </c>
      <c r="BN14" s="364" t="s">
        <v>1452</v>
      </c>
      <c r="BQ14" s="364">
        <v>4213782</v>
      </c>
      <c r="BR14" s="364" t="s">
        <v>195</v>
      </c>
      <c r="BS14" s="22"/>
      <c r="BT14" s="108"/>
      <c r="BU14" s="108"/>
      <c r="BV14" s="108"/>
      <c r="BW14" s="108"/>
      <c r="BX14"/>
    </row>
    <row r="15" spans="1:79" ht="19.5" customHeight="1">
      <c r="A15" s="4" t="s">
        <v>1453</v>
      </c>
      <c r="B15" s="29">
        <v>2013</v>
      </c>
      <c r="E15" s="521" t="s">
        <v>1454</v>
      </c>
      <c r="G15" s="363" t="s">
        <v>1455</v>
      </c>
      <c r="H15" s="363" t="s">
        <v>1456</v>
      </c>
      <c r="I15" s="103" t="s">
        <v>158</v>
      </c>
      <c r="J15" s="29" t="s">
        <v>586</v>
      </c>
      <c r="N15" s="387" t="s">
        <v>1457</v>
      </c>
      <c r="X15" s="22"/>
      <c r="AW15" s="364" t="s">
        <v>157</v>
      </c>
      <c r="AX15" s="364" t="s">
        <v>157</v>
      </c>
      <c r="AZ15" s="364" t="s">
        <v>1376</v>
      </c>
      <c r="BB15" s="364" t="s">
        <v>1458</v>
      </c>
      <c r="BC15" s="364" t="s">
        <v>1442</v>
      </c>
      <c r="BE15" s="364">
        <v>2013</v>
      </c>
      <c r="BH15" s="364" t="s">
        <v>1381</v>
      </c>
      <c r="BJ15" s="413" t="s">
        <v>1459</v>
      </c>
      <c r="BL15" s="413" t="s">
        <v>1459</v>
      </c>
      <c r="BN15" s="364" t="s">
        <v>1460</v>
      </c>
      <c r="BR15" s="108"/>
      <c r="BS15" s="108"/>
      <c r="BT15" s="108"/>
      <c r="BU15" s="108"/>
      <c r="BV15" s="108"/>
      <c r="BW15" s="108"/>
      <c r="BX15"/>
    </row>
    <row r="16" spans="1:79" ht="21" customHeight="1">
      <c r="A16" s="591" t="s">
        <v>1461</v>
      </c>
      <c r="B16" s="29">
        <v>2014</v>
      </c>
      <c r="E16" s="522" t="s">
        <v>1462</v>
      </c>
      <c r="G16" s="27" t="s">
        <v>1463</v>
      </c>
      <c r="H16" s="27" t="s">
        <v>1464</v>
      </c>
      <c r="I16" s="103" t="s">
        <v>1465</v>
      </c>
      <c r="J16" s="29" t="s">
        <v>559</v>
      </c>
      <c r="N16" s="387" t="s">
        <v>1466</v>
      </c>
      <c r="AW16" s="364" t="s">
        <v>158</v>
      </c>
      <c r="AX16" s="364" t="s">
        <v>158</v>
      </c>
      <c r="AZ16" s="364" t="s">
        <v>1392</v>
      </c>
      <c r="BB16" s="364" t="s">
        <v>1467</v>
      </c>
      <c r="BC16" s="364" t="s">
        <v>1442</v>
      </c>
      <c r="BE16" s="364">
        <v>2014</v>
      </c>
      <c r="BH16" s="364" t="s">
        <v>1397</v>
      </c>
      <c r="BJ16" s="413" t="s">
        <v>1468</v>
      </c>
      <c r="BL16" s="413" t="s">
        <v>1468</v>
      </c>
      <c r="BN16" s="364" t="s">
        <v>1469</v>
      </c>
      <c r="BR16" s="108"/>
      <c r="BS16" s="108"/>
      <c r="BT16" s="108"/>
      <c r="BU16" s="108"/>
      <c r="BV16" s="108"/>
      <c r="BW16" s="108"/>
      <c r="BX16"/>
    </row>
    <row r="17" spans="1:82" ht="21" customHeight="1">
      <c r="A17" s="4" t="s">
        <v>1470</v>
      </c>
      <c r="B17" s="29">
        <v>2015</v>
      </c>
      <c r="G17" s="27" t="s">
        <v>1417</v>
      </c>
      <c r="H17" s="27" t="s">
        <v>1417</v>
      </c>
      <c r="I17" s="27" t="s">
        <v>1471</v>
      </c>
      <c r="N17" s="387" t="s">
        <v>1472</v>
      </c>
      <c r="X17" s="22"/>
      <c r="AW17" s="364" t="s">
        <v>1465</v>
      </c>
      <c r="AX17" s="364" t="s">
        <v>1465</v>
      </c>
      <c r="AZ17" s="364" t="s">
        <v>1473</v>
      </c>
      <c r="BB17" s="364" t="s">
        <v>1474</v>
      </c>
      <c r="BC17" s="364" t="s">
        <v>1325</v>
      </c>
      <c r="BE17" s="364">
        <v>2015</v>
      </c>
      <c r="BH17" s="364" t="s">
        <v>1413</v>
      </c>
      <c r="BJ17" s="413" t="s">
        <v>1475</v>
      </c>
      <c r="BL17" s="413" t="s">
        <v>1475</v>
      </c>
      <c r="BN17" s="364" t="s">
        <v>1476</v>
      </c>
      <c r="BR17" s="363" t="s">
        <v>1267</v>
      </c>
      <c r="BS17" s="21"/>
      <c r="BU17" s="363" t="s">
        <v>1477</v>
      </c>
      <c r="BV17" s="108"/>
      <c r="BW17"/>
      <c r="BX17" s="363" t="s">
        <v>1478</v>
      </c>
      <c r="CA17" s="363" t="s">
        <v>1479</v>
      </c>
      <c r="CD17" s="363" t="s">
        <v>1480</v>
      </c>
    </row>
    <row r="18" spans="1:82" ht="21" customHeight="1">
      <c r="A18" s="4" t="s">
        <v>1481</v>
      </c>
      <c r="B18" s="29">
        <v>2016</v>
      </c>
      <c r="E18" s="363" t="s">
        <v>1482</v>
      </c>
      <c r="I18" s="27" t="s">
        <v>1483</v>
      </c>
      <c r="N18" s="387" t="s">
        <v>1484</v>
      </c>
      <c r="X18" s="22"/>
      <c r="AW18" s="364" t="s">
        <v>1471</v>
      </c>
      <c r="AX18" s="364" t="s">
        <v>1471</v>
      </c>
      <c r="BB18" s="364" t="s">
        <v>1485</v>
      </c>
      <c r="BC18" s="364" t="s">
        <v>1325</v>
      </c>
      <c r="BE18" s="364">
        <v>2016</v>
      </c>
      <c r="BH18" s="364" t="s">
        <v>1427</v>
      </c>
      <c r="BJ18" s="413" t="s">
        <v>1486</v>
      </c>
      <c r="BL18" s="413" t="s">
        <v>1486</v>
      </c>
      <c r="BN18" s="364" t="s">
        <v>1487</v>
      </c>
      <c r="BQ18" s="22" t="s">
        <v>1297</v>
      </c>
      <c r="BR18" s="22" t="s">
        <v>1298</v>
      </c>
      <c r="BS18" s="22"/>
      <c r="BT18" s="22" t="s">
        <v>1488</v>
      </c>
      <c r="BU18" s="22" t="s">
        <v>1489</v>
      </c>
      <c r="BV18" s="108"/>
      <c r="BW18" s="22" t="s">
        <v>1490</v>
      </c>
      <c r="BX18" s="22" t="s">
        <v>1491</v>
      </c>
      <c r="BZ18" s="22" t="s">
        <v>1492</v>
      </c>
      <c r="CA18" s="22" t="s">
        <v>1493</v>
      </c>
      <c r="CC18" s="22" t="s">
        <v>1494</v>
      </c>
      <c r="CD18" s="22" t="s">
        <v>1495</v>
      </c>
    </row>
    <row r="19" spans="1:82" ht="21" customHeight="1">
      <c r="A19" s="591" t="s">
        <v>1496</v>
      </c>
      <c r="B19" s="29">
        <v>2017</v>
      </c>
      <c r="E19" s="4" t="s">
        <v>170</v>
      </c>
      <c r="I19" s="27" t="s">
        <v>1497</v>
      </c>
      <c r="N19" s="387" t="s">
        <v>1498</v>
      </c>
      <c r="X19" s="22"/>
      <c r="AW19" s="364" t="s">
        <v>1483</v>
      </c>
      <c r="AX19" s="364" t="s">
        <v>1483</v>
      </c>
      <c r="AZ19" s="363" t="s">
        <v>1499</v>
      </c>
      <c r="BB19" s="364" t="s">
        <v>1500</v>
      </c>
      <c r="BC19" s="364" t="s">
        <v>1325</v>
      </c>
      <c r="BE19" s="364">
        <v>2017</v>
      </c>
      <c r="BH19" s="364" t="s">
        <v>1501</v>
      </c>
      <c r="BJ19" s="413" t="s">
        <v>1502</v>
      </c>
      <c r="BL19" s="413" t="s">
        <v>1502</v>
      </c>
      <c r="BQ19" s="364">
        <v>4190064</v>
      </c>
      <c r="BR19" s="364" t="s">
        <v>1503</v>
      </c>
      <c r="BS19" s="22"/>
      <c r="BT19" s="364">
        <v>4189671</v>
      </c>
      <c r="BU19" s="364" t="s">
        <v>1504</v>
      </c>
      <c r="BV19" s="108"/>
      <c r="BW19" s="364">
        <v>4189706</v>
      </c>
      <c r="BX19" s="364" t="s">
        <v>1505</v>
      </c>
      <c r="BZ19" s="364">
        <v>4189714</v>
      </c>
      <c r="CA19" s="364" t="s">
        <v>1506</v>
      </c>
      <c r="CC19" s="364">
        <v>4189708</v>
      </c>
      <c r="CD19" s="364" t="s">
        <v>1507</v>
      </c>
    </row>
    <row r="20" spans="1:82" ht="21" customHeight="1">
      <c r="A20" s="4" t="s">
        <v>1508</v>
      </c>
      <c r="B20" s="29">
        <v>2018</v>
      </c>
      <c r="E20" s="4" t="s">
        <v>1256</v>
      </c>
      <c r="I20" s="27" t="s">
        <v>1509</v>
      </c>
      <c r="N20" s="387" t="s">
        <v>1510</v>
      </c>
      <c r="AW20" s="364" t="s">
        <v>1497</v>
      </c>
      <c r="AX20" s="364" t="s">
        <v>1497</v>
      </c>
      <c r="AZ20" s="364" t="s">
        <v>1511</v>
      </c>
      <c r="BB20" s="364" t="s">
        <v>1512</v>
      </c>
      <c r="BC20" s="364" t="s">
        <v>1442</v>
      </c>
      <c r="BE20" s="364">
        <v>2018</v>
      </c>
      <c r="BH20" s="364" t="s">
        <v>1438</v>
      </c>
      <c r="BJ20" s="364" t="s">
        <v>1365</v>
      </c>
      <c r="BL20" s="364" t="s">
        <v>1365</v>
      </c>
      <c r="BQ20" s="364">
        <v>4190065</v>
      </c>
      <c r="BR20" s="364" t="s">
        <v>1513</v>
      </c>
      <c r="BS20" s="22"/>
      <c r="BT20" s="364">
        <v>4189672</v>
      </c>
      <c r="BU20" s="364" t="s">
        <v>1514</v>
      </c>
      <c r="BV20" s="108"/>
      <c r="BW20" s="364">
        <v>4189705</v>
      </c>
      <c r="BX20" s="364" t="s">
        <v>1515</v>
      </c>
      <c r="BZ20" s="364">
        <v>4189713</v>
      </c>
      <c r="CA20" s="364" t="s">
        <v>1515</v>
      </c>
      <c r="CC20" s="364">
        <v>4189709</v>
      </c>
      <c r="CD20" s="364" t="s">
        <v>1516</v>
      </c>
    </row>
    <row r="21" spans="1:82" ht="21" customHeight="1">
      <c r="A21" s="4" t="s">
        <v>1517</v>
      </c>
      <c r="B21" s="29">
        <v>2019</v>
      </c>
      <c r="I21" s="27" t="s">
        <v>1518</v>
      </c>
      <c r="N21" s="387" t="s">
        <v>1519</v>
      </c>
      <c r="AW21" s="364" t="s">
        <v>1509</v>
      </c>
      <c r="AX21" s="364" t="s">
        <v>1509</v>
      </c>
      <c r="AZ21" s="364" t="s">
        <v>1520</v>
      </c>
      <c r="BB21" s="364" t="s">
        <v>1521</v>
      </c>
      <c r="BC21" s="364" t="s">
        <v>1325</v>
      </c>
      <c r="BE21" s="364">
        <v>2019</v>
      </c>
      <c r="BH21" s="364" t="s">
        <v>1445</v>
      </c>
      <c r="BJ21" s="364" t="s">
        <v>1381</v>
      </c>
      <c r="BL21" s="364" t="s">
        <v>1381</v>
      </c>
      <c r="BQ21" s="364">
        <v>4190066</v>
      </c>
      <c r="BR21" s="364" t="s">
        <v>1522</v>
      </c>
      <c r="BS21" s="22"/>
      <c r="BT21" s="364">
        <v>4189673</v>
      </c>
      <c r="BU21" s="364" t="s">
        <v>1523</v>
      </c>
      <c r="BV21" s="108"/>
      <c r="BW21" s="364">
        <v>4189707</v>
      </c>
      <c r="BX21" s="364" t="s">
        <v>1524</v>
      </c>
      <c r="BZ21" s="364">
        <v>4189712</v>
      </c>
      <c r="CA21" s="364" t="s">
        <v>1525</v>
      </c>
      <c r="CC21" s="364">
        <v>4189710</v>
      </c>
      <c r="CD21" s="364" t="s">
        <v>1526</v>
      </c>
    </row>
    <row r="22" spans="1:82" ht="21" customHeight="1">
      <c r="A22" s="4" t="s">
        <v>1527</v>
      </c>
      <c r="B22" s="29">
        <v>2020</v>
      </c>
      <c r="N22" s="387" t="s">
        <v>1528</v>
      </c>
      <c r="AW22" s="364" t="s">
        <v>1518</v>
      </c>
      <c r="AX22" s="364" t="s">
        <v>1518</v>
      </c>
      <c r="AZ22" s="364" t="s">
        <v>1529</v>
      </c>
      <c r="BB22" s="364" t="s">
        <v>1530</v>
      </c>
      <c r="BC22" s="364" t="s">
        <v>1325</v>
      </c>
      <c r="BE22" s="364">
        <v>2020</v>
      </c>
      <c r="BH22" s="364" t="s">
        <v>1452</v>
      </c>
      <c r="BJ22" s="364" t="s">
        <v>1397</v>
      </c>
      <c r="BL22" s="364" t="s">
        <v>1397</v>
      </c>
      <c r="BQ22" s="364">
        <v>4190067</v>
      </c>
      <c r="BR22" s="364" t="s">
        <v>1531</v>
      </c>
      <c r="BS22" s="22"/>
      <c r="BT22" s="364">
        <v>4189674</v>
      </c>
      <c r="BU22" s="364" t="s">
        <v>1532</v>
      </c>
      <c r="BV22" s="108"/>
      <c r="BW22" s="108"/>
      <c r="CC22" s="364">
        <v>4189711</v>
      </c>
      <c r="CD22" s="364" t="s">
        <v>296</v>
      </c>
    </row>
    <row r="23" spans="1:82" ht="21" customHeight="1">
      <c r="A23" s="4" t="s">
        <v>1533</v>
      </c>
      <c r="B23" s="29">
        <v>2021</v>
      </c>
      <c r="AW23" s="364" t="s">
        <v>1534</v>
      </c>
      <c r="AX23" s="364" t="s">
        <v>1534</v>
      </c>
      <c r="AZ23" s="364" t="s">
        <v>1535</v>
      </c>
      <c r="BB23" s="364" t="s">
        <v>1536</v>
      </c>
      <c r="BC23" s="364" t="s">
        <v>1235</v>
      </c>
      <c r="BE23" s="364">
        <v>2021</v>
      </c>
      <c r="BH23" s="364" t="s">
        <v>1460</v>
      </c>
      <c r="BJ23" s="364" t="s">
        <v>1413</v>
      </c>
      <c r="BL23" s="364" t="s">
        <v>1413</v>
      </c>
      <c r="BQ23" s="364">
        <v>4190068</v>
      </c>
      <c r="BR23" s="364" t="s">
        <v>1537</v>
      </c>
      <c r="BS23" s="22"/>
      <c r="BT23" s="364">
        <v>4189675</v>
      </c>
      <c r="BU23" s="364" t="s">
        <v>1538</v>
      </c>
      <c r="BV23" s="108"/>
      <c r="BW23" s="108"/>
      <c r="CC23" s="364">
        <v>5110778</v>
      </c>
      <c r="CD23" s="364" t="s">
        <v>1539</v>
      </c>
    </row>
    <row r="24" spans="1:82" ht="21" customHeight="1">
      <c r="A24" s="4" t="s">
        <v>1540</v>
      </c>
      <c r="B24" s="29">
        <v>2022</v>
      </c>
      <c r="AW24" s="364" t="s">
        <v>1541</v>
      </c>
      <c r="AX24" s="364" t="s">
        <v>1541</v>
      </c>
      <c r="AZ24" s="364" t="s">
        <v>1542</v>
      </c>
      <c r="BB24" s="364" t="s">
        <v>1543</v>
      </c>
      <c r="BC24" s="364" t="s">
        <v>1544</v>
      </c>
      <c r="BE24" s="364">
        <v>2022</v>
      </c>
      <c r="BH24" s="364" t="s">
        <v>1469</v>
      </c>
      <c r="BJ24" s="364" t="s">
        <v>1427</v>
      </c>
      <c r="BL24" s="364" t="s">
        <v>1427</v>
      </c>
      <c r="BQ24" s="364">
        <v>4190069</v>
      </c>
      <c r="BR24" s="364" t="s">
        <v>1545</v>
      </c>
      <c r="BS24" s="22"/>
      <c r="BT24" s="364">
        <v>4189676</v>
      </c>
      <c r="BU24" s="364" t="s">
        <v>1546</v>
      </c>
      <c r="BV24" s="108"/>
      <c r="BW24" s="108"/>
      <c r="CC24" s="364">
        <v>25575374</v>
      </c>
      <c r="CD24" s="364" t="s">
        <v>1547</v>
      </c>
    </row>
    <row r="25" spans="1:82" ht="11.25" customHeight="1">
      <c r="A25" s="4" t="s">
        <v>1548</v>
      </c>
      <c r="B25" s="29">
        <v>2023</v>
      </c>
      <c r="AW25" s="364" t="s">
        <v>1549</v>
      </c>
      <c r="AX25" s="364" t="s">
        <v>1549</v>
      </c>
      <c r="AZ25" s="364" t="s">
        <v>1550</v>
      </c>
      <c r="BB25" s="364" t="s">
        <v>1551</v>
      </c>
      <c r="BC25" s="364" t="s">
        <v>1544</v>
      </c>
      <c r="BE25" s="364">
        <v>2023</v>
      </c>
      <c r="BH25" s="364" t="s">
        <v>1476</v>
      </c>
      <c r="BJ25" s="364" t="s">
        <v>1501</v>
      </c>
      <c r="BL25" s="364" t="s">
        <v>1501</v>
      </c>
      <c r="BQ25" s="364">
        <v>4190070</v>
      </c>
      <c r="BR25" s="364" t="s">
        <v>1552</v>
      </c>
      <c r="BS25" s="22"/>
      <c r="BT25" s="364">
        <v>4189677</v>
      </c>
      <c r="BU25" s="364" t="s">
        <v>1553</v>
      </c>
      <c r="BV25" s="108"/>
      <c r="BW25" s="108"/>
    </row>
    <row r="26" spans="1:82" ht="11.25" customHeight="1">
      <c r="A26" s="4" t="s">
        <v>1554</v>
      </c>
      <c r="B26" s="29">
        <v>2024</v>
      </c>
      <c r="J26" s="543" t="s">
        <v>1555</v>
      </c>
      <c r="AX26" s="364" t="s">
        <v>1556</v>
      </c>
      <c r="AZ26" s="364" t="s">
        <v>1420</v>
      </c>
      <c r="BB26" s="364" t="s">
        <v>1557</v>
      </c>
      <c r="BC26" s="364" t="s">
        <v>1544</v>
      </c>
      <c r="BE26" s="364">
        <v>2024</v>
      </c>
      <c r="BH26" s="364" t="s">
        <v>1487</v>
      </c>
      <c r="BJ26" s="364" t="s">
        <v>1438</v>
      </c>
      <c r="BL26" s="364" t="s">
        <v>1438</v>
      </c>
      <c r="BQ26" s="364">
        <v>4190071</v>
      </c>
      <c r="BR26" s="364" t="s">
        <v>1558</v>
      </c>
      <c r="BS26" s="22"/>
      <c r="BV26" s="108"/>
      <c r="BW26" s="108"/>
    </row>
    <row r="27" spans="1:82" ht="11.25" customHeight="1">
      <c r="A27" s="4" t="s">
        <v>1559</v>
      </c>
      <c r="B27" s="29">
        <v>2025</v>
      </c>
      <c r="J27" s="56" t="s">
        <v>123</v>
      </c>
      <c r="AX27" s="364" t="s">
        <v>1560</v>
      </c>
      <c r="BB27" s="364" t="s">
        <v>1561</v>
      </c>
      <c r="BC27" s="364" t="s">
        <v>1544</v>
      </c>
      <c r="BE27" s="364">
        <v>2025</v>
      </c>
      <c r="BH27" s="108" t="s">
        <v>22</v>
      </c>
      <c r="BJ27" s="364" t="s">
        <v>1445</v>
      </c>
      <c r="BL27" s="364" t="s">
        <v>1445</v>
      </c>
      <c r="BN27" s="108" t="s">
        <v>22</v>
      </c>
      <c r="BQ27" s="364">
        <v>4190072</v>
      </c>
      <c r="BR27" s="364" t="s">
        <v>1562</v>
      </c>
      <c r="BS27" s="22"/>
      <c r="BV27" s="108"/>
      <c r="BW27" s="108"/>
    </row>
    <row r="28" spans="1:82" ht="11.25" customHeight="1">
      <c r="A28" s="4" t="s">
        <v>1563</v>
      </c>
      <c r="D28" s="4"/>
      <c r="E28" s="372"/>
      <c r="F28" s="372"/>
      <c r="H28" s="49" t="s">
        <v>1564</v>
      </c>
      <c r="AX28" s="364" t="s">
        <v>1565</v>
      </c>
      <c r="AZ28" s="363" t="s">
        <v>1566</v>
      </c>
      <c r="BB28" s="364" t="s">
        <v>1567</v>
      </c>
      <c r="BC28" s="364" t="s">
        <v>1568</v>
      </c>
      <c r="BE28" s="364">
        <v>2026</v>
      </c>
      <c r="BH28" s="108" t="s">
        <v>22</v>
      </c>
      <c r="BJ28" s="364" t="s">
        <v>1452</v>
      </c>
      <c r="BL28" s="364" t="s">
        <v>1452</v>
      </c>
      <c r="BN28" s="108" t="s">
        <v>22</v>
      </c>
      <c r="BQ28" s="364">
        <v>4190073</v>
      </c>
      <c r="BR28" s="364" t="s">
        <v>1569</v>
      </c>
      <c r="BS28" s="22"/>
      <c r="BV28" s="108"/>
      <c r="BW28" s="108"/>
    </row>
    <row r="29" spans="1:82" ht="11.25" customHeight="1">
      <c r="A29" s="4" t="s">
        <v>1570</v>
      </c>
      <c r="D29" s="373" t="s">
        <v>1571</v>
      </c>
      <c r="E29" s="374" t="str">
        <f>IF(TEMPLATE_GROUP="","",INDEX(StartDateList,MATCH(TEMPLATE_GROUP,CodeTemplateList,0),1))</f>
        <v>01.04.2024</v>
      </c>
      <c r="F29" s="374" t="str">
        <f>IF(TEMPLATE_GROUP="","",INDEX(EndDateList,MATCH(TEMPLATE_GROUP,CodeTemplateList,0),1))</f>
        <v>30.06.2024</v>
      </c>
      <c r="H29" s="373" t="s">
        <v>1572</v>
      </c>
      <c r="AX29" s="364" t="s">
        <v>1573</v>
      </c>
      <c r="AZ29" s="364" t="s">
        <v>1220</v>
      </c>
      <c r="BB29" s="364" t="s">
        <v>1420</v>
      </c>
      <c r="BE29" s="364">
        <v>2027</v>
      </c>
      <c r="BJ29" s="364" t="s">
        <v>1460</v>
      </c>
      <c r="BL29" s="364" t="s">
        <v>1460</v>
      </c>
    </row>
    <row r="30" spans="1:82" ht="11.25" customHeight="1">
      <c r="A30" s="4" t="s">
        <v>1574</v>
      </c>
      <c r="D30" s="108"/>
      <c r="E30" s="22"/>
      <c r="F30" s="22"/>
      <c r="AX30" s="364" t="s">
        <v>1575</v>
      </c>
      <c r="AZ30" s="364" t="s">
        <v>1245</v>
      </c>
      <c r="BE30" s="364">
        <v>2028</v>
      </c>
      <c r="BJ30" s="364" t="s">
        <v>1576</v>
      </c>
      <c r="BL30" s="364" t="s">
        <v>1576</v>
      </c>
    </row>
    <row r="31" spans="1:82" ht="12.75" customHeight="1">
      <c r="A31" s="4" t="s">
        <v>1577</v>
      </c>
      <c r="D31" s="4"/>
      <c r="E31" s="372"/>
      <c r="F31" s="372"/>
      <c r="H31" s="375"/>
      <c r="AX31" s="364" t="s">
        <v>1578</v>
      </c>
      <c r="AZ31" s="364" t="s">
        <v>1579</v>
      </c>
      <c r="BE31" s="364">
        <v>2029</v>
      </c>
      <c r="BJ31" s="364" t="s">
        <v>1580</v>
      </c>
      <c r="BL31" s="364" t="s">
        <v>1580</v>
      </c>
    </row>
    <row r="32" spans="1:82" ht="11.25" customHeight="1">
      <c r="A32" s="4" t="s">
        <v>1581</v>
      </c>
      <c r="D32" s="373" t="s">
        <v>1582</v>
      </c>
      <c r="E32" s="374" t="str">
        <f>IF(TEMPLATE_GROUP="","",INDEX(StartDateList,MATCH(TEMPLATE_GROUP,CodeTemplateList,0),1))</f>
        <v>01.04.2024</v>
      </c>
      <c r="F32" s="374" t="str">
        <f>IF(TEMPLATE_GROUP="","",INDEX(EndDateList,MATCH(TEMPLATE_GROUP,CodeTemplateList,0),1))</f>
        <v>30.06.2024</v>
      </c>
      <c r="H32" s="376" t="s">
        <v>1583</v>
      </c>
      <c r="O32" s="4" t="s">
        <v>1218</v>
      </c>
      <c r="AX32" s="364" t="s">
        <v>1584</v>
      </c>
      <c r="AZ32" s="364" t="s">
        <v>1313</v>
      </c>
      <c r="BE32" s="364">
        <v>2030</v>
      </c>
      <c r="BJ32" s="364" t="s">
        <v>1469</v>
      </c>
      <c r="BL32" s="364" t="s">
        <v>1469</v>
      </c>
    </row>
    <row r="33" spans="1:66" ht="11.25" customHeight="1">
      <c r="A33" s="4" t="s">
        <v>1585</v>
      </c>
      <c r="O33" s="4" t="s">
        <v>1242</v>
      </c>
      <c r="AX33" s="364" t="s">
        <v>1586</v>
      </c>
      <c r="AZ33" s="364" t="s">
        <v>1219</v>
      </c>
      <c r="BE33" s="364">
        <v>2031</v>
      </c>
      <c r="BJ33" s="364" t="s">
        <v>1476</v>
      </c>
      <c r="BL33" s="364" t="s">
        <v>1476</v>
      </c>
    </row>
    <row r="34" spans="1:66" ht="11.25" customHeight="1">
      <c r="A34" s="4" t="s">
        <v>1587</v>
      </c>
      <c r="O34" s="4" t="s">
        <v>1278</v>
      </c>
      <c r="AX34" s="364" t="s">
        <v>1588</v>
      </c>
      <c r="BE34" s="364">
        <v>2032</v>
      </c>
      <c r="BJ34" s="364" t="s">
        <v>1487</v>
      </c>
      <c r="BL34" s="364" t="s">
        <v>1487</v>
      </c>
    </row>
    <row r="35" spans="1:66" ht="11.25" customHeight="1">
      <c r="A35" s="4" t="s">
        <v>1589</v>
      </c>
      <c r="O35" s="4" t="s">
        <v>1311</v>
      </c>
      <c r="AX35" s="364" t="s">
        <v>1590</v>
      </c>
      <c r="AZ35" s="363" t="s">
        <v>1591</v>
      </c>
      <c r="BE35" s="364">
        <v>2033</v>
      </c>
      <c r="BL35" s="364" t="s">
        <v>1592</v>
      </c>
    </row>
    <row r="36" spans="1:66" ht="11.25" customHeight="1">
      <c r="A36" s="591" t="s">
        <v>1593</v>
      </c>
      <c r="D36" s="377" t="s">
        <v>1594</v>
      </c>
      <c r="E36" s="378" t="s">
        <v>811</v>
      </c>
      <c r="F36" s="29" t="str">
        <f>INDEX(E37:E41,MATCH(TEMPLATE_SPHERE,F37:F41,0))</f>
        <v>теплоснабжения</v>
      </c>
      <c r="G36" s="29" t="str">
        <f>INDEX(G37:G41,MATCH(TEMPLATE_SPHERE,F37:F41,0))</f>
        <v>теплоснабжение</v>
      </c>
      <c r="O36" s="4" t="s">
        <v>1336</v>
      </c>
      <c r="AX36" s="364" t="s">
        <v>1595</v>
      </c>
      <c r="AZ36" s="364" t="s">
        <v>1219</v>
      </c>
      <c r="BE36" s="364">
        <v>2034</v>
      </c>
      <c r="BL36" s="364" t="s">
        <v>1596</v>
      </c>
    </row>
    <row r="37" spans="1:66" ht="11.25" customHeight="1">
      <c r="A37" s="4" t="s">
        <v>1597</v>
      </c>
      <c r="E37" s="134" t="s">
        <v>1598</v>
      </c>
      <c r="F37" s="379" t="s">
        <v>811</v>
      </c>
      <c r="G37" s="134" t="s">
        <v>1599</v>
      </c>
      <c r="O37" s="4" t="s">
        <v>1355</v>
      </c>
      <c r="AX37" s="364" t="s">
        <v>1600</v>
      </c>
      <c r="AZ37" s="364" t="s">
        <v>1244</v>
      </c>
      <c r="BE37" s="364">
        <v>2035</v>
      </c>
    </row>
    <row r="38" spans="1:66" ht="11.25" customHeight="1">
      <c r="A38" s="4" t="s">
        <v>1601</v>
      </c>
      <c r="E38" s="134" t="s">
        <v>1602</v>
      </c>
      <c r="F38" s="380" t="s">
        <v>857</v>
      </c>
      <c r="G38" s="134" t="s">
        <v>1603</v>
      </c>
      <c r="O38" s="4" t="s">
        <v>1372</v>
      </c>
      <c r="AX38" s="364" t="s">
        <v>1604</v>
      </c>
      <c r="AZ38" s="364" t="s">
        <v>1279</v>
      </c>
      <c r="BE38" s="364">
        <v>2036</v>
      </c>
      <c r="BH38" s="363" t="s">
        <v>1605</v>
      </c>
      <c r="BJ38" s="363" t="s">
        <v>1606</v>
      </c>
      <c r="BL38" s="363" t="s">
        <v>1607</v>
      </c>
      <c r="BN38" s="363" t="s">
        <v>1608</v>
      </c>
    </row>
    <row r="39" spans="1:66" ht="11.25" customHeight="1">
      <c r="A39" s="4" t="s">
        <v>1609</v>
      </c>
      <c r="E39" s="134" t="s">
        <v>1610</v>
      </c>
      <c r="F39" s="380" t="s">
        <v>910</v>
      </c>
      <c r="G39" s="134" t="s">
        <v>1611</v>
      </c>
      <c r="O39" s="4" t="s">
        <v>1388</v>
      </c>
      <c r="AX39" s="364" t="s">
        <v>1612</v>
      </c>
      <c r="AZ39" s="364" t="s">
        <v>1312</v>
      </c>
      <c r="BE39" s="364">
        <v>2037</v>
      </c>
      <c r="BH39" s="364" t="s">
        <v>1613</v>
      </c>
      <c r="BJ39" s="413" t="s">
        <v>1613</v>
      </c>
      <c r="BL39" s="413" t="s">
        <v>1613</v>
      </c>
      <c r="BN39" s="364" t="s">
        <v>1614</v>
      </c>
    </row>
    <row r="40" spans="1:66" ht="11.25" customHeight="1">
      <c r="A40" s="4" t="s">
        <v>1615</v>
      </c>
      <c r="E40" s="134" t="s">
        <v>1616</v>
      </c>
      <c r="F40" s="380" t="s">
        <v>897</v>
      </c>
      <c r="G40" s="134" t="s">
        <v>1617</v>
      </c>
      <c r="O40" s="4" t="s">
        <v>1404</v>
      </c>
      <c r="AX40" s="364" t="s">
        <v>1618</v>
      </c>
      <c r="BE40" s="364">
        <v>2038</v>
      </c>
      <c r="BH40" s="364" t="s">
        <v>1619</v>
      </c>
      <c r="BJ40" s="413" t="s">
        <v>1030</v>
      </c>
      <c r="BL40" s="413" t="s">
        <v>1030</v>
      </c>
      <c r="BN40" s="364" t="s">
        <v>1064</v>
      </c>
    </row>
    <row r="41" spans="1:66" ht="11.25" customHeight="1">
      <c r="A41" s="4" t="s">
        <v>1620</v>
      </c>
      <c r="E41" s="134" t="s">
        <v>1621</v>
      </c>
      <c r="F41" s="380" t="s">
        <v>1622</v>
      </c>
      <c r="G41" s="134" t="s">
        <v>1621</v>
      </c>
      <c r="O41" s="4" t="s">
        <v>1420</v>
      </c>
      <c r="AX41" s="364" t="s">
        <v>1623</v>
      </c>
      <c r="AZ41" s="363" t="s">
        <v>1624</v>
      </c>
      <c r="BE41" s="364">
        <v>2039</v>
      </c>
      <c r="BH41" s="364" t="s">
        <v>1625</v>
      </c>
      <c r="BJ41" s="413" t="s">
        <v>1026</v>
      </c>
      <c r="BL41" s="413" t="s">
        <v>1026</v>
      </c>
      <c r="BN41" s="364" t="s">
        <v>1051</v>
      </c>
    </row>
    <row r="42" spans="1:66" ht="11.25" customHeight="1">
      <c r="A42" s="4" t="s">
        <v>1626</v>
      </c>
      <c r="AX42" s="364" t="s">
        <v>1627</v>
      </c>
      <c r="AZ42" s="364" t="s">
        <v>1218</v>
      </c>
      <c r="BE42" s="364">
        <v>2040</v>
      </c>
      <c r="BH42" s="364" t="s">
        <v>1048</v>
      </c>
      <c r="BJ42" s="413" t="s">
        <v>1028</v>
      </c>
      <c r="BL42" s="413" t="s">
        <v>1028</v>
      </c>
      <c r="BN42" s="364" t="s">
        <v>1628</v>
      </c>
    </row>
    <row r="43" spans="1:66" ht="11.25" customHeight="1">
      <c r="A43" s="4" t="s">
        <v>1629</v>
      </c>
      <c r="AX43" s="364" t="s">
        <v>1630</v>
      </c>
      <c r="AZ43" s="364" t="s">
        <v>1242</v>
      </c>
      <c r="BE43" s="364">
        <v>2041</v>
      </c>
      <c r="BH43" s="364" t="s">
        <v>1631</v>
      </c>
      <c r="BJ43" s="413" t="s">
        <v>1625</v>
      </c>
      <c r="BL43" s="413" t="s">
        <v>1625</v>
      </c>
      <c r="BN43" s="364" t="s">
        <v>1632</v>
      </c>
    </row>
    <row r="44" spans="1:66" ht="11.25" customHeight="1">
      <c r="A44" s="4" t="s">
        <v>1633</v>
      </c>
      <c r="G44" s="4">
        <f ca="1">YEAR(TODAY())</f>
        <v>2024</v>
      </c>
      <c r="I44" s="265" t="s">
        <v>1634</v>
      </c>
      <c r="J44" s="29" t="s">
        <v>1635</v>
      </c>
      <c r="K44" s="29" t="s">
        <v>1636</v>
      </c>
      <c r="AX44" s="364" t="s">
        <v>1637</v>
      </c>
      <c r="AZ44" s="364" t="s">
        <v>1278</v>
      </c>
      <c r="BE44" s="364">
        <v>2042</v>
      </c>
      <c r="BH44" s="364" t="s">
        <v>1638</v>
      </c>
      <c r="BJ44" s="413" t="s">
        <v>1048</v>
      </c>
      <c r="BL44" s="413" t="s">
        <v>1048</v>
      </c>
      <c r="BN44" s="364" t="s">
        <v>1639</v>
      </c>
    </row>
    <row r="45" spans="1:66" ht="11.25" customHeight="1">
      <c r="A45" s="4" t="s">
        <v>1640</v>
      </c>
      <c r="D45" s="377" t="s">
        <v>1641</v>
      </c>
      <c r="E45" s="378" t="s">
        <v>1642</v>
      </c>
      <c r="F45" s="31" t="s">
        <v>1643</v>
      </c>
      <c r="G45" s="264" t="s">
        <v>1644</v>
      </c>
      <c r="H45" s="265" t="s">
        <v>1645</v>
      </c>
      <c r="I45" s="550" t="b">
        <f>INDEX(PeriodIsEmptyList,MATCH(TEMPLATE_GROUP,CodeTemplateList,0),1)</f>
        <v>0</v>
      </c>
      <c r="J45" s="550" t="str">
        <f>INDEX(NameTemplatesInTitleList,MATCH(TEMPLATE_GROUP,CodeTemplateList,0),1)</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K45" s="550"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364" t="s">
        <v>1646</v>
      </c>
      <c r="AZ45" s="364" t="s">
        <v>1311</v>
      </c>
      <c r="BE45" s="364">
        <v>2043</v>
      </c>
      <c r="BH45" s="364" t="s">
        <v>1647</v>
      </c>
      <c r="BJ45" s="413" t="s">
        <v>1042</v>
      </c>
      <c r="BL45" s="413" t="s">
        <v>1042</v>
      </c>
      <c r="BN45" s="364" t="s">
        <v>1648</v>
      </c>
    </row>
    <row r="46" spans="1:66" ht="11.25" customHeight="1">
      <c r="A46" s="4" t="s">
        <v>1649</v>
      </c>
      <c r="E46" s="134" t="s">
        <v>27</v>
      </c>
      <c r="F46" s="379" t="s">
        <v>1650</v>
      </c>
      <c r="G46" s="381" t="str">
        <f ca="1">IFERROR(IF(TITLE_DATE_FIL="","01.01."&amp;CURRENT_YEAR,"01.01."&amp;YEAR(TITLE_DATE_FIL)),"01.01."&amp;CURRENT_YEAR)</f>
        <v>01.01.2024</v>
      </c>
      <c r="H46" s="381" t="str">
        <f ca="1">IFERROR(IF(TITLE_DATE_FIL="","31.12."&amp;CURRENT_YEAR,"31.12."&amp;YEAR(TITLE_DATE_FIL)),"31.12."&amp;CURRENT_YEAR)</f>
        <v>31.12.2024</v>
      </c>
      <c r="I46" s="551" t="b">
        <f>IF(TITLE_DATE_FIL="",TRUE,FALSE)</f>
        <v>1</v>
      </c>
      <c r="J46" s="29" t="str">
        <f>"Общая информация о регулируемой организации ("&amp;TEMPLATE_SPHERE_RUS&amp;")"</f>
        <v>Общая информация о регулируемой организации (теплоснабжения)</v>
      </c>
      <c r="K46" s="23"/>
      <c r="AX46" s="364" t="s">
        <v>1651</v>
      </c>
      <c r="AZ46" s="364" t="s">
        <v>1336</v>
      </c>
      <c r="BE46" s="364">
        <v>2044</v>
      </c>
      <c r="BH46" s="364" t="s">
        <v>1051</v>
      </c>
      <c r="BJ46" s="413" t="s">
        <v>1032</v>
      </c>
      <c r="BL46" s="413" t="s">
        <v>1032</v>
      </c>
      <c r="BN46" s="364" t="s">
        <v>1652</v>
      </c>
    </row>
    <row r="47" spans="1:66" ht="11.25" customHeight="1">
      <c r="A47" s="4" t="s">
        <v>1653</v>
      </c>
      <c r="E47" s="134" t="s">
        <v>33</v>
      </c>
      <c r="F47" s="380" t="s">
        <v>1642</v>
      </c>
      <c r="G47" s="381" t="str">
        <f>IFERROR(IF(f_year="","01.01."&amp;CURRENT_YEAR,IF(LEN(f_quart)=0,"01.01."&amp;f_year,IF(f_quart="I квартал","01.01."&amp;f_year,IF(f_quart="II квартал","01.04."&amp;f_year,(IF(f_quart="III квартал","01.07."&amp;f_year,"01.10."&amp;f_year)))))),"01.01."&amp;CURRENT_YEAR)</f>
        <v>01.04.2024</v>
      </c>
      <c r="H47" s="381" t="str">
        <f>IFERROR(IF(f_year="","31.12."&amp;CURRENT_YEAR,IF(LEN(f_quart)=0,"31.12."&amp;f_year,IF(f_quart="I квартал","31.03."&amp;f_year,IF(f_quart="II квартал","30.06."&amp;f_year,(IF(f_quart="III квартал","30.09."&amp;f_year,"31.12."&amp;f_year)))))),"31.12."&amp;CURRENT_YEAR)</f>
        <v>30.06.2024</v>
      </c>
      <c r="I47" s="552" t="b">
        <f>IF(OR(f_year="",f_quart=""),TRUE,FALSE)</f>
        <v>0</v>
      </c>
      <c r="J47" s="29"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K47" s="23"/>
      <c r="AX47" s="364" t="s">
        <v>1654</v>
      </c>
      <c r="AZ47" s="364" t="s">
        <v>1355</v>
      </c>
      <c r="BE47" s="364">
        <v>2045</v>
      </c>
      <c r="BH47" s="364" t="s">
        <v>1628</v>
      </c>
      <c r="BJ47" s="413" t="s">
        <v>1034</v>
      </c>
      <c r="BL47" s="413" t="s">
        <v>1034</v>
      </c>
      <c r="BN47" s="364" t="s">
        <v>1655</v>
      </c>
    </row>
    <row r="48" spans="1:66" ht="11.25" customHeight="1">
      <c r="A48" s="4" t="s">
        <v>1656</v>
      </c>
      <c r="E48" s="134" t="s">
        <v>1657</v>
      </c>
      <c r="F48" s="380" t="s">
        <v>1658</v>
      </c>
      <c r="G48" s="381" t="str">
        <f>IFERROR(IF(f_year="","01.01."&amp;CURRENT_YEAR,"01.01."&amp;f_year),"01.01."&amp;CURRENT_YEAR)</f>
        <v>01.01.2024</v>
      </c>
      <c r="H48" s="381" t="str">
        <f>IFERROR(IF(f_year="","31.12."&amp;CURRENT_YEAR,"31.12."&amp;f_year),"31.12."&amp;CURRENT_YEAR)</f>
        <v>31.12.2024</v>
      </c>
      <c r="I48" s="551" t="b">
        <f>IF(f_year="",TRUE,FALSE)</f>
        <v>0</v>
      </c>
      <c r="J48" s="29" t="s">
        <v>1659</v>
      </c>
      <c r="K48" s="23"/>
      <c r="AX48" s="364" t="s">
        <v>1660</v>
      </c>
      <c r="AZ48" s="364" t="s">
        <v>1372</v>
      </c>
      <c r="BE48" s="364">
        <v>2046</v>
      </c>
      <c r="BH48" s="364" t="s">
        <v>1632</v>
      </c>
      <c r="BJ48" s="413" t="s">
        <v>1036</v>
      </c>
      <c r="BL48" s="413" t="s">
        <v>1036</v>
      </c>
      <c r="BN48" s="364" t="s">
        <v>1661</v>
      </c>
    </row>
    <row r="49" spans="1:64" ht="11.25" customHeight="1">
      <c r="A49" s="4" t="s">
        <v>1662</v>
      </c>
      <c r="E49" s="134" t="s">
        <v>1663</v>
      </c>
      <c r="F49" s="380" t="s">
        <v>1664</v>
      </c>
      <c r="G49" s="381" t="str">
        <f>IFERROR(IF(f_year="","01.01."&amp;CURRENT_YEAR,"01.01."&amp;f_year),"01.01."&amp;CURRENT_YEAR)</f>
        <v>01.01.2024</v>
      </c>
      <c r="H49" s="381" t="str">
        <f>IFERROR(IF(f_year="","31.12."&amp;CURRENT_YEAR,"31.12."&amp;f_year),"31.12."&amp;CURRENT_YEAR)</f>
        <v>31.12.2024</v>
      </c>
      <c r="I49" s="551" t="b">
        <f>IF(f_year="",TRUE,FALSE)</f>
        <v>0</v>
      </c>
      <c r="J49" s="29"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теплоснабжения</v>
      </c>
      <c r="K49" s="23"/>
      <c r="AX49" s="364" t="s">
        <v>1665</v>
      </c>
      <c r="AZ49" s="364" t="s">
        <v>1388</v>
      </c>
      <c r="BE49" s="364">
        <v>2047</v>
      </c>
      <c r="BH49" s="364" t="s">
        <v>1052</v>
      </c>
      <c r="BJ49" s="413" t="s">
        <v>1038</v>
      </c>
      <c r="BL49" s="413" t="s">
        <v>1038</v>
      </c>
    </row>
    <row r="50" spans="1:64" ht="11.25" customHeight="1">
      <c r="A50" s="4" t="s">
        <v>1666</v>
      </c>
      <c r="E50" s="134" t="s">
        <v>1667</v>
      </c>
      <c r="F50" s="380" t="s">
        <v>1022</v>
      </c>
      <c r="G50" s="381" t="str">
        <f>IFERROR(IF(f_year="","01.01."&amp;CURRENT_YEAR,"01.01."&amp;f_year),"01.01."&amp;CURRENT_YEAR)</f>
        <v>01.01.2024</v>
      </c>
      <c r="H50" s="381" t="str">
        <f>IFERROR(IF(f_year="","31.12."&amp;CURRENT_YEAR,"31.12."&amp;f_year),"31.12."&amp;CURRENT_YEAR)</f>
        <v>31.12.2024</v>
      </c>
      <c r="I50" s="551" t="b">
        <f>IF(f_year="",TRUE,FALSE)</f>
        <v>0</v>
      </c>
      <c r="J50" s="29"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теплоснабжения</v>
      </c>
      <c r="K50" s="23"/>
      <c r="AX50" s="364" t="s">
        <v>1668</v>
      </c>
      <c r="AZ50" s="364" t="s">
        <v>1404</v>
      </c>
      <c r="BE50" s="364">
        <v>2048</v>
      </c>
      <c r="BH50" s="364" t="s">
        <v>1639</v>
      </c>
      <c r="BJ50" s="413" t="s">
        <v>1040</v>
      </c>
      <c r="BL50" s="413" t="s">
        <v>1040</v>
      </c>
    </row>
    <row r="51" spans="1:64" ht="11.25" customHeight="1">
      <c r="A51" s="4" t="s">
        <v>1669</v>
      </c>
      <c r="E51" s="134" t="s">
        <v>1670</v>
      </c>
      <c r="F51" s="380" t="s">
        <v>1671</v>
      </c>
      <c r="G51" s="381" t="str">
        <f ca="1">IFERROR(IF(TITLE_PERIOD_START="","01.01."&amp;CURRENT_YEAR,"01.01."&amp;YEAR(TITLE_PERIOD_START)),"01.01."&amp;CURRENT_YEAR)</f>
        <v>01.01.2024</v>
      </c>
      <c r="H51" s="381" t="str">
        <f ca="1">IFERROR(IF(TITLE_PERIOD_END="","31.12."&amp;CURRENT_YEAR,"31.12."&amp;YEAR(TITLE_PERIOD_END)),"31.12."&amp;CURRENT_YEAR)</f>
        <v>31.12.2024</v>
      </c>
      <c r="I51" s="552" t="b">
        <f>IF(OR(TITLE_PERIOD_START="",TITLE_PERIOD_END=""),TRUE,FALSE)</f>
        <v>1</v>
      </c>
      <c r="J51" s="29"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23"/>
      <c r="AX51" s="364" t="s">
        <v>1672</v>
      </c>
      <c r="AZ51" s="364" t="s">
        <v>1420</v>
      </c>
      <c r="BE51" s="364">
        <v>2049</v>
      </c>
      <c r="BH51" s="364" t="s">
        <v>1648</v>
      </c>
      <c r="BJ51" s="413" t="s">
        <v>1673</v>
      </c>
      <c r="BL51" s="413" t="s">
        <v>1673</v>
      </c>
    </row>
    <row r="52" spans="1:64" ht="11.25" customHeight="1">
      <c r="A52" s="4" t="s">
        <v>1674</v>
      </c>
      <c r="E52" s="134" t="s">
        <v>1675</v>
      </c>
      <c r="F52" s="380" t="s">
        <v>1676</v>
      </c>
      <c r="G52" s="381" t="str">
        <f ca="1">IFERROR(IF(TITLE_PERIOD_START="","01.01."&amp;CURRENT_YEAR,"01.01."&amp;YEAR(TITLE_PERIOD_START)),"01.01."&amp;CURRENT_YEAR)</f>
        <v>01.01.2024</v>
      </c>
      <c r="H52" s="381" t="str">
        <f ca="1">IFERROR(IF(TITLE_PERIOD_END="","31.12."&amp;CURRENT_YEAR,"31.12."&amp;YEAR(TITLE_PERIOD_END)),"31.12."&amp;CURRENT_YEAR)</f>
        <v>31.12.2024</v>
      </c>
      <c r="I52" s="552" t="b">
        <f>IF(OR(TITLE_PERIOD_START="",TITLE_PERIOD_END=""),TRUE,FALSE)</f>
        <v>1</v>
      </c>
      <c r="J52" s="29" t="str">
        <f>"Показатели, подлежащие раскрытию в сфере "&amp;TEMPLATE_SPHERE_RUS&amp;" (цены и тарифы)"</f>
        <v>Показатели, подлежащие раскрытию в сфере теплоснабжения (цены и тарифы)</v>
      </c>
      <c r="K52" s="23"/>
      <c r="AX52" s="364" t="s">
        <v>1677</v>
      </c>
      <c r="AZ52" s="364" t="s">
        <v>1219</v>
      </c>
      <c r="BE52" s="364">
        <v>2050</v>
      </c>
      <c r="BH52" s="364" t="s">
        <v>1652</v>
      </c>
      <c r="BJ52" s="413" t="s">
        <v>1051</v>
      </c>
      <c r="BL52" s="413" t="s">
        <v>1051</v>
      </c>
    </row>
    <row r="53" spans="1:64" ht="11.25" customHeight="1">
      <c r="A53" s="4" t="s">
        <v>1678</v>
      </c>
      <c r="E53" s="134" t="s">
        <v>1679</v>
      </c>
      <c r="F53" s="380" t="s">
        <v>1679</v>
      </c>
      <c r="G53" s="381" t="str">
        <f>IFERROR(IF(f_year="","01.01."&amp;CURRENT_YEAR,"01.01."&amp;f_year),"01.01."&amp;CURRENT_YEAR)</f>
        <v>01.01.2024</v>
      </c>
      <c r="H53" s="381" t="str">
        <f>IFERROR(IF(f_year="","31.12."&amp;CURRENT_YEAR,"31.12."&amp;f_year),"31.12."&amp;CURRENT_YEAR)</f>
        <v>31.12.2024</v>
      </c>
      <c r="I53" s="551" t="b">
        <f>IF(AND(f_year="",TITLE_DATE_FIL=""),TRUE,FALSE)</f>
        <v>0</v>
      </c>
      <c r="J53" s="29" t="s">
        <v>1680</v>
      </c>
      <c r="K53" s="23"/>
      <c r="AX53" s="364" t="s">
        <v>1681</v>
      </c>
      <c r="BE53" s="364">
        <v>2051</v>
      </c>
      <c r="BH53" s="364" t="s">
        <v>1655</v>
      </c>
      <c r="BJ53" s="413" t="s">
        <v>1628</v>
      </c>
      <c r="BL53" s="413" t="s">
        <v>1628</v>
      </c>
    </row>
    <row r="54" spans="1:64" ht="11.25" customHeight="1">
      <c r="A54" s="4" t="s">
        <v>1682</v>
      </c>
      <c r="AX54" s="364" t="s">
        <v>1683</v>
      </c>
      <c r="AZ54" s="363" t="s">
        <v>1684</v>
      </c>
      <c r="BE54" s="364">
        <v>2052</v>
      </c>
      <c r="BH54" s="364" t="s">
        <v>1661</v>
      </c>
      <c r="BJ54" s="413" t="s">
        <v>1632</v>
      </c>
      <c r="BL54" s="413" t="s">
        <v>1632</v>
      </c>
    </row>
    <row r="55" spans="1:64" ht="11.25" customHeight="1">
      <c r="A55" s="4" t="s">
        <v>1685</v>
      </c>
      <c r="AX55" s="364" t="s">
        <v>1686</v>
      </c>
      <c r="AZ55" s="364" t="s">
        <v>1221</v>
      </c>
      <c r="BE55" s="364">
        <v>2053</v>
      </c>
      <c r="BH55" s="108" t="s">
        <v>22</v>
      </c>
      <c r="BJ55" s="413" t="s">
        <v>1052</v>
      </c>
      <c r="BL55" s="413" t="s">
        <v>1052</v>
      </c>
    </row>
    <row r="56" spans="1:64" ht="11.25" customHeight="1">
      <c r="A56" s="4" t="s">
        <v>1687</v>
      </c>
      <c r="D56" s="382" t="s">
        <v>1688</v>
      </c>
      <c r="E56" s="29" t="s">
        <v>112</v>
      </c>
      <c r="F56" s="4" t="s">
        <v>1689</v>
      </c>
      <c r="AX56" s="364" t="s">
        <v>1690</v>
      </c>
      <c r="AZ56" s="364" t="s">
        <v>1246</v>
      </c>
      <c r="BE56" s="364">
        <v>2054</v>
      </c>
      <c r="BH56" s="108" t="s">
        <v>22</v>
      </c>
      <c r="BJ56" s="413" t="s">
        <v>1639</v>
      </c>
      <c r="BL56" s="413" t="s">
        <v>1639</v>
      </c>
    </row>
    <row r="57" spans="1:64" ht="11.25" customHeight="1">
      <c r="A57" s="4" t="s">
        <v>1691</v>
      </c>
      <c r="D57" s="382" t="s">
        <v>1692</v>
      </c>
      <c r="E57" s="29" t="s">
        <v>1681</v>
      </c>
      <c r="F57" s="4" t="s">
        <v>1689</v>
      </c>
      <c r="AX57" s="364" t="s">
        <v>1693</v>
      </c>
      <c r="AZ57" s="364" t="s">
        <v>1281</v>
      </c>
      <c r="BE57" s="364">
        <v>2055</v>
      </c>
      <c r="BJ57" s="413" t="s">
        <v>1648</v>
      </c>
      <c r="BL57" s="413" t="s">
        <v>1648</v>
      </c>
    </row>
    <row r="58" spans="1:64" ht="11.25" customHeight="1">
      <c r="A58" s="4" t="s">
        <v>1694</v>
      </c>
      <c r="D58" s="382" t="s">
        <v>1695</v>
      </c>
      <c r="E58" s="29" t="s">
        <v>112</v>
      </c>
      <c r="F58" s="4" t="s">
        <v>1689</v>
      </c>
      <c r="AX58" s="364" t="s">
        <v>1696</v>
      </c>
      <c r="BE58" s="364">
        <v>2056</v>
      </c>
      <c r="BJ58" s="413" t="s">
        <v>1652</v>
      </c>
      <c r="BL58" s="413" t="s">
        <v>1652</v>
      </c>
    </row>
    <row r="59" spans="1:64" ht="11.25" customHeight="1">
      <c r="A59" s="4" t="s">
        <v>1697</v>
      </c>
      <c r="D59" s="382" t="s">
        <v>136</v>
      </c>
      <c r="E59" s="29" t="s">
        <v>1584</v>
      </c>
      <c r="F59" s="4" t="s">
        <v>1698</v>
      </c>
      <c r="AX59" s="364" t="s">
        <v>1699</v>
      </c>
      <c r="AZ59" s="363" t="s">
        <v>1700</v>
      </c>
      <c r="BE59" s="364">
        <v>2057</v>
      </c>
      <c r="BJ59" s="413" t="s">
        <v>1655</v>
      </c>
      <c r="BL59" s="413" t="s">
        <v>1655</v>
      </c>
    </row>
    <row r="60" spans="1:64" ht="11.25" customHeight="1">
      <c r="A60" s="4" t="s">
        <v>1701</v>
      </c>
      <c r="D60" s="382" t="s">
        <v>1702</v>
      </c>
      <c r="E60" s="29" t="s">
        <v>1584</v>
      </c>
      <c r="F60" s="4" t="s">
        <v>1698</v>
      </c>
      <c r="AX60" s="364" t="s">
        <v>1703</v>
      </c>
      <c r="AZ60" s="364" t="s">
        <v>1222</v>
      </c>
      <c r="BE60" s="364">
        <v>2058</v>
      </c>
      <c r="BJ60" s="413" t="s">
        <v>1661</v>
      </c>
      <c r="BL60" s="413" t="s">
        <v>1661</v>
      </c>
    </row>
    <row r="61" spans="1:64" ht="11.25" customHeight="1">
      <c r="A61" s="4" t="s">
        <v>1704</v>
      </c>
      <c r="D61" s="382" t="s">
        <v>1705</v>
      </c>
      <c r="E61" s="29" t="s">
        <v>1584</v>
      </c>
      <c r="F61" s="4" t="s">
        <v>1698</v>
      </c>
      <c r="AX61" s="364" t="s">
        <v>1706</v>
      </c>
      <c r="AZ61" s="364" t="s">
        <v>1247</v>
      </c>
      <c r="BE61" s="364">
        <v>2059</v>
      </c>
      <c r="BL61" s="413" t="s">
        <v>1044</v>
      </c>
    </row>
    <row r="62" spans="1:64" ht="11.25" customHeight="1">
      <c r="A62" s="4" t="s">
        <v>1707</v>
      </c>
      <c r="D62" s="382" t="s">
        <v>135</v>
      </c>
      <c r="E62" s="29">
        <v>30</v>
      </c>
      <c r="F62" s="4" t="s">
        <v>1698</v>
      </c>
      <c r="AZ62" s="364" t="s">
        <v>1282</v>
      </c>
      <c r="BE62" s="364">
        <v>2060</v>
      </c>
      <c r="BL62" s="413" t="s">
        <v>1046</v>
      </c>
    </row>
    <row r="63" spans="1:64" ht="11.25" customHeight="1">
      <c r="A63" s="4" t="s">
        <v>1708</v>
      </c>
      <c r="D63" s="382" t="s">
        <v>1709</v>
      </c>
      <c r="E63" s="29">
        <v>30</v>
      </c>
      <c r="F63" s="4" t="s">
        <v>1698</v>
      </c>
      <c r="AZ63" s="364" t="s">
        <v>1314</v>
      </c>
      <c r="BE63" s="364">
        <v>2061</v>
      </c>
    </row>
    <row r="64" spans="1:64" ht="11.25" customHeight="1">
      <c r="A64" s="4" t="s">
        <v>1710</v>
      </c>
      <c r="D64" s="382" t="s">
        <v>1711</v>
      </c>
      <c r="E64" s="29">
        <v>30</v>
      </c>
      <c r="F64" s="4" t="s">
        <v>1698</v>
      </c>
      <c r="AZ64" s="364" t="s">
        <v>1337</v>
      </c>
      <c r="BE64" s="364">
        <v>2062</v>
      </c>
    </row>
    <row r="65" spans="1:66" ht="11.25" customHeight="1">
      <c r="A65" s="4" t="s">
        <v>1712</v>
      </c>
      <c r="D65" s="4"/>
      <c r="BE65" s="364">
        <v>2063</v>
      </c>
    </row>
    <row r="66" spans="1:66" ht="11.25" customHeight="1">
      <c r="A66" s="4" t="s">
        <v>1713</v>
      </c>
      <c r="AZ66" s="363" t="s">
        <v>1714</v>
      </c>
      <c r="BE66" s="364">
        <v>2064</v>
      </c>
    </row>
    <row r="67" spans="1:66" ht="11.25" customHeight="1">
      <c r="A67" s="4" t="s">
        <v>1715</v>
      </c>
      <c r="AZ67" s="364" t="s">
        <v>1223</v>
      </c>
      <c r="BE67" s="364">
        <v>2065</v>
      </c>
    </row>
    <row r="68" spans="1:66" ht="11.25" customHeight="1">
      <c r="A68" s="4" t="s">
        <v>1716</v>
      </c>
      <c r="AZ68" s="364" t="s">
        <v>1248</v>
      </c>
      <c r="BE68" s="364">
        <v>2066</v>
      </c>
      <c r="BH68" s="363" t="s">
        <v>1717</v>
      </c>
      <c r="BJ68" s="363" t="s">
        <v>1718</v>
      </c>
      <c r="BL68" s="363" t="s">
        <v>1719</v>
      </c>
      <c r="BN68" s="363" t="s">
        <v>1720</v>
      </c>
    </row>
    <row r="69" spans="1:66" ht="11.25" customHeight="1">
      <c r="A69" s="4" t="s">
        <v>1721</v>
      </c>
      <c r="AZ69" s="364" t="s">
        <v>1283</v>
      </c>
      <c r="BE69" s="364">
        <v>2067</v>
      </c>
      <c r="BH69" s="364" t="s">
        <v>1722</v>
      </c>
      <c r="BI69" s="108" t="s">
        <v>110</v>
      </c>
      <c r="BJ69" s="364" t="s">
        <v>1723</v>
      </c>
      <c r="BK69" s="108" t="s">
        <v>110</v>
      </c>
      <c r="BL69" s="364" t="s">
        <v>1724</v>
      </c>
      <c r="BM69" s="108" t="s">
        <v>110</v>
      </c>
      <c r="BN69" s="364" t="s">
        <v>1725</v>
      </c>
    </row>
    <row r="70" spans="1:66" ht="11.25" customHeight="1">
      <c r="A70" s="4" t="s">
        <v>1726</v>
      </c>
      <c r="AZ70" s="364" t="s">
        <v>1315</v>
      </c>
      <c r="BE70" s="364">
        <v>2068</v>
      </c>
      <c r="BH70" s="364" t="s">
        <v>1727</v>
      </c>
      <c r="BJ70" s="364" t="s">
        <v>1728</v>
      </c>
      <c r="BL70" s="364" t="s">
        <v>1729</v>
      </c>
      <c r="BN70" s="364" t="s">
        <v>1730</v>
      </c>
    </row>
    <row r="71" spans="1:66" ht="11.25" customHeight="1">
      <c r="A71" s="4" t="s">
        <v>1731</v>
      </c>
      <c r="AZ71" s="364" t="s">
        <v>1317</v>
      </c>
      <c r="BE71" s="364">
        <v>2069</v>
      </c>
      <c r="BH71" s="364" t="s">
        <v>1732</v>
      </c>
      <c r="BI71" s="108" t="s">
        <v>90</v>
      </c>
      <c r="BJ71" s="364" t="s">
        <v>1733</v>
      </c>
      <c r="BK71" s="108" t="s">
        <v>90</v>
      </c>
      <c r="BL71" s="364" t="s">
        <v>1734</v>
      </c>
      <c r="BM71" s="108" t="s">
        <v>90</v>
      </c>
      <c r="BN71" s="364" t="s">
        <v>1735</v>
      </c>
    </row>
    <row r="72" spans="1:66" ht="11.25" customHeight="1">
      <c r="A72" s="4" t="s">
        <v>1736</v>
      </c>
      <c r="AZ72" s="364" t="s">
        <v>19</v>
      </c>
      <c r="BE72" s="364">
        <v>2070</v>
      </c>
      <c r="BH72" s="364" t="s">
        <v>1737</v>
      </c>
      <c r="BJ72" s="364" t="s">
        <v>1737</v>
      </c>
      <c r="BL72" s="364" t="s">
        <v>1737</v>
      </c>
      <c r="BN72" s="364" t="s">
        <v>1738</v>
      </c>
    </row>
    <row r="73" spans="1:66" ht="11.25" customHeight="1">
      <c r="A73" s="4" t="s">
        <v>1739</v>
      </c>
      <c r="BH73" s="364" t="s">
        <v>1740</v>
      </c>
      <c r="BI73" s="108" t="s">
        <v>112</v>
      </c>
      <c r="BJ73" s="364" t="s">
        <v>1741</v>
      </c>
      <c r="BK73" s="108" t="s">
        <v>112</v>
      </c>
      <c r="BL73" s="364" t="s">
        <v>1742</v>
      </c>
      <c r="BM73" s="108" t="s">
        <v>112</v>
      </c>
      <c r="BN73" s="364" t="s">
        <v>1743</v>
      </c>
    </row>
    <row r="74" spans="1:66" ht="11.25" customHeight="1">
      <c r="A74" s="4" t="s">
        <v>1744</v>
      </c>
      <c r="BH74" s="364" t="s">
        <v>1745</v>
      </c>
      <c r="BJ74" s="364" t="s">
        <v>1746</v>
      </c>
      <c r="BL74" s="364" t="s">
        <v>1747</v>
      </c>
      <c r="BN74" s="364" t="s">
        <v>1748</v>
      </c>
    </row>
    <row r="75" spans="1:66" ht="11.25" customHeight="1">
      <c r="A75" s="4" t="s">
        <v>1749</v>
      </c>
      <c r="AZ75" s="363" t="s">
        <v>1750</v>
      </c>
      <c r="BH75" s="364" t="s">
        <v>1751</v>
      </c>
      <c r="BJ75" s="364" t="s">
        <v>1751</v>
      </c>
      <c r="BL75" s="364" t="s">
        <v>1751</v>
      </c>
    </row>
    <row r="76" spans="1:66" ht="11.25" customHeight="1">
      <c r="A76" s="4" t="s">
        <v>1752</v>
      </c>
      <c r="AZ76" s="364" t="s">
        <v>1232</v>
      </c>
      <c r="BH76" s="364" t="s">
        <v>1753</v>
      </c>
      <c r="BJ76" s="364" t="s">
        <v>1754</v>
      </c>
      <c r="BL76" s="364" t="s">
        <v>1755</v>
      </c>
    </row>
    <row r="77" spans="1:66" ht="11.25" customHeight="1">
      <c r="A77" s="4" t="s">
        <v>1756</v>
      </c>
      <c r="AZ77" s="364" t="s">
        <v>1258</v>
      </c>
    </row>
    <row r="78" spans="1:66" ht="11.25" customHeight="1">
      <c r="A78" s="4" t="s">
        <v>16</v>
      </c>
      <c r="AZ78" s="364" t="s">
        <v>1290</v>
      </c>
    </row>
    <row r="79" spans="1:66" ht="11.25" customHeight="1">
      <c r="A79" s="4" t="s">
        <v>1757</v>
      </c>
      <c r="AZ79" s="364" t="s">
        <v>1321</v>
      </c>
      <c r="BH79" s="363" t="s">
        <v>1758</v>
      </c>
      <c r="BJ79" s="363" t="s">
        <v>1759</v>
      </c>
      <c r="BL79" s="363" t="s">
        <v>1760</v>
      </c>
    </row>
    <row r="80" spans="1:66" ht="11.25" customHeight="1">
      <c r="A80" s="4" t="s">
        <v>1761</v>
      </c>
      <c r="AZ80" s="364" t="s">
        <v>1342</v>
      </c>
      <c r="BH80" s="364" t="s">
        <v>1762</v>
      </c>
      <c r="BJ80" s="364" t="s">
        <v>1763</v>
      </c>
      <c r="BL80" s="364" t="s">
        <v>1764</v>
      </c>
    </row>
    <row r="81" spans="1:66" ht="11.25" customHeight="1">
      <c r="A81" s="4" t="s">
        <v>1765</v>
      </c>
      <c r="AZ81" s="364" t="s">
        <v>1359</v>
      </c>
      <c r="BH81" s="364" t="s">
        <v>1766</v>
      </c>
      <c r="BJ81" s="364" t="s">
        <v>1767</v>
      </c>
      <c r="BL81" s="364" t="s">
        <v>1768</v>
      </c>
    </row>
    <row r="82" spans="1:66" ht="11.25" customHeight="1">
      <c r="A82" s="4" t="s">
        <v>1769</v>
      </c>
      <c r="AZ82" s="364" t="s">
        <v>1374</v>
      </c>
      <c r="BH82" s="364" t="s">
        <v>1770</v>
      </c>
      <c r="BJ82" s="364" t="s">
        <v>1771</v>
      </c>
      <c r="BL82" s="364" t="s">
        <v>1772</v>
      </c>
    </row>
    <row r="83" spans="1:66" ht="11.25" customHeight="1">
      <c r="A83" s="4" t="s">
        <v>1773</v>
      </c>
      <c r="BH83" s="364" t="s">
        <v>1774</v>
      </c>
      <c r="BJ83" s="364" t="s">
        <v>1775</v>
      </c>
      <c r="BL83" s="364" t="s">
        <v>1776</v>
      </c>
    </row>
    <row r="84" spans="1:66" ht="11.25" customHeight="1">
      <c r="A84" s="4" t="s">
        <v>1777</v>
      </c>
      <c r="AZ84" s="363" t="s">
        <v>1778</v>
      </c>
    </row>
    <row r="85" spans="1:66" ht="11.25" customHeight="1">
      <c r="A85" s="591" t="s">
        <v>1779</v>
      </c>
      <c r="AZ85" s="364" t="s">
        <v>1780</v>
      </c>
    </row>
    <row r="86" spans="1:66" ht="11.25" customHeight="1">
      <c r="A86" s="4" t="s">
        <v>1781</v>
      </c>
      <c r="AZ86" s="364" t="s">
        <v>1782</v>
      </c>
      <c r="BH86" s="363" t="s">
        <v>1783</v>
      </c>
      <c r="BJ86" s="363" t="s">
        <v>1784</v>
      </c>
      <c r="BL86" s="363" t="s">
        <v>1785</v>
      </c>
    </row>
    <row r="87" spans="1:66" ht="11.25" customHeight="1">
      <c r="A87" s="4" t="s">
        <v>1786</v>
      </c>
      <c r="AZ87" s="364" t="s">
        <v>1787</v>
      </c>
      <c r="BH87" s="364" t="s">
        <v>1788</v>
      </c>
      <c r="BJ87" s="364" t="s">
        <v>1789</v>
      </c>
      <c r="BL87" s="364" t="s">
        <v>1790</v>
      </c>
    </row>
    <row r="88" spans="1:66" ht="11.25" customHeight="1">
      <c r="A88" s="4" t="s">
        <v>1791</v>
      </c>
      <c r="AZ88"/>
      <c r="BH88" s="364" t="s">
        <v>1792</v>
      </c>
      <c r="BJ88" s="364" t="s">
        <v>1793</v>
      </c>
      <c r="BL88" s="364" t="s">
        <v>1794</v>
      </c>
    </row>
    <row r="89" spans="1:66" ht="11.25" customHeight="1">
      <c r="A89" s="4" t="s">
        <v>1795</v>
      </c>
      <c r="AZ89" s="363" t="s">
        <v>1796</v>
      </c>
    </row>
    <row r="90" spans="1:66" ht="11.25" customHeight="1">
      <c r="A90" s="4" t="s">
        <v>1797</v>
      </c>
      <c r="AZ90" s="364" t="s">
        <v>1022</v>
      </c>
    </row>
    <row r="91" spans="1:66" ht="11.25" customHeight="1">
      <c r="A91" s="4" t="s">
        <v>1798</v>
      </c>
      <c r="AZ91" s="364" t="s">
        <v>1058</v>
      </c>
      <c r="BH91" s="363" t="s">
        <v>1799</v>
      </c>
      <c r="BJ91" s="363" t="s">
        <v>1800</v>
      </c>
      <c r="BL91" s="363" t="s">
        <v>1801</v>
      </c>
    </row>
    <row r="92" spans="1:66" ht="11.25" customHeight="1">
      <c r="AZ92" s="364" t="s">
        <v>1802</v>
      </c>
      <c r="BH92" s="364" t="s">
        <v>1803</v>
      </c>
      <c r="BJ92" s="364" t="s">
        <v>1804</v>
      </c>
      <c r="BL92" s="364" t="s">
        <v>1805</v>
      </c>
    </row>
    <row r="93" spans="1:66" ht="11.25" customHeight="1">
      <c r="AZ93" s="364" t="s">
        <v>1806</v>
      </c>
      <c r="BH93" s="364" t="s">
        <v>1807</v>
      </c>
      <c r="BJ93" s="364" t="s">
        <v>1808</v>
      </c>
      <c r="BL93" s="364" t="s">
        <v>1809</v>
      </c>
    </row>
    <row r="94" spans="1:66" ht="11.25" customHeight="1">
      <c r="AZ94" s="364" t="s">
        <v>1810</v>
      </c>
    </row>
    <row r="96" spans="1:66" ht="11.25" customHeight="1">
      <c r="AZ96" s="363" t="s">
        <v>1811</v>
      </c>
      <c r="BH96" s="363" t="s">
        <v>1812</v>
      </c>
      <c r="BJ96" s="363" t="s">
        <v>1813</v>
      </c>
      <c r="BL96" s="363" t="s">
        <v>1814</v>
      </c>
      <c r="BN96" s="363" t="s">
        <v>1815</v>
      </c>
    </row>
    <row r="97" spans="52:66" ht="11.25" customHeight="1">
      <c r="AZ97" s="364" t="s">
        <v>1816</v>
      </c>
      <c r="BA97" s="4" t="s">
        <v>1817</v>
      </c>
      <c r="BH97" s="364" t="s">
        <v>1818</v>
      </c>
      <c r="BJ97" s="364" t="s">
        <v>1819</v>
      </c>
      <c r="BL97" s="364" t="s">
        <v>1820</v>
      </c>
      <c r="BN97" s="364" t="s">
        <v>1821</v>
      </c>
    </row>
    <row r="98" spans="52:66" ht="11.25" customHeight="1">
      <c r="AZ98" s="364" t="s">
        <v>1822</v>
      </c>
      <c r="BA98" s="4" t="s">
        <v>1823</v>
      </c>
      <c r="BH98" s="364" t="s">
        <v>1824</v>
      </c>
      <c r="BJ98" s="364" t="s">
        <v>1825</v>
      </c>
      <c r="BL98" s="364" t="s">
        <v>1826</v>
      </c>
      <c r="BN98" s="364" t="s">
        <v>1827</v>
      </c>
    </row>
    <row r="99" spans="52:66" ht="22.5" customHeight="1">
      <c r="AZ99" s="364" t="s">
        <v>1828</v>
      </c>
      <c r="BA99" s="4" t="str">
        <f>"не позднее чем за "&amp;IF(TEMPLATE_SPHERE="TKO","3","10")&amp;" дней до дня проведения заседания правления"</f>
        <v>не позднее чем за 10 дней до дня проведения заседания правления</v>
      </c>
      <c r="BH99" s="364" t="s">
        <v>1829</v>
      </c>
      <c r="BJ99" s="364" t="s">
        <v>1830</v>
      </c>
      <c r="BL99" s="364" t="s">
        <v>1831</v>
      </c>
      <c r="BN99" s="364" t="s">
        <v>1832</v>
      </c>
    </row>
    <row r="100" spans="52:66" ht="22.5" customHeight="1">
      <c r="AZ100" s="364" t="s">
        <v>1833</v>
      </c>
      <c r="BA100" s="4"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J100" s="364" t="s">
        <v>1420</v>
      </c>
      <c r="BL100" s="364" t="s">
        <v>1420</v>
      </c>
      <c r="BN100" s="364" t="s">
        <v>1834</v>
      </c>
    </row>
    <row r="101" spans="52:66" ht="22.5" customHeight="1">
      <c r="AZ101" s="364" t="s">
        <v>1835</v>
      </c>
      <c r="BA101" s="4" t="s">
        <v>1836</v>
      </c>
      <c r="BN101" s="364" t="s">
        <v>1837</v>
      </c>
    </row>
    <row r="102" spans="52:66" ht="22.5" customHeight="1">
      <c r="AZ102" s="364" t="s">
        <v>1838</v>
      </c>
      <c r="BA102" s="4"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N102" s="364" t="s">
        <v>1839</v>
      </c>
    </row>
    <row r="103" spans="52:66" ht="11.25" customHeight="1">
      <c r="AZ103" s="364" t="s">
        <v>1840</v>
      </c>
      <c r="BA103" s="4" t="s">
        <v>1841</v>
      </c>
      <c r="BN103" s="364" t="s">
        <v>1842</v>
      </c>
    </row>
    <row r="104" spans="52:66" ht="11.25" customHeight="1">
      <c r="BN104" s="364" t="s">
        <v>1843</v>
      </c>
    </row>
    <row r="105" spans="52:66" ht="11.25" customHeight="1">
      <c r="AZ105" s="363" t="s">
        <v>1844</v>
      </c>
    </row>
    <row r="106" spans="52:66" ht="11.25" customHeight="1">
      <c r="AZ106" s="364" t="s">
        <v>1845</v>
      </c>
    </row>
    <row r="107" spans="52:66" ht="11.25" customHeight="1">
      <c r="AZ107" s="364" t="s">
        <v>1846</v>
      </c>
      <c r="BH107" s="363" t="s">
        <v>1847</v>
      </c>
      <c r="BJ107" s="363" t="s">
        <v>1848</v>
      </c>
      <c r="BL107" s="363" t="s">
        <v>1849</v>
      </c>
      <c r="BN107" s="363" t="s">
        <v>1850</v>
      </c>
    </row>
    <row r="108" spans="52:66" ht="11.25" customHeight="1">
      <c r="AZ108" s="364" t="s">
        <v>574</v>
      </c>
      <c r="BH108" s="364" t="s">
        <v>1851</v>
      </c>
      <c r="BJ108" s="364" t="s">
        <v>1852</v>
      </c>
      <c r="BL108" s="364" t="s">
        <v>1506</v>
      </c>
      <c r="BN108" s="364" t="s">
        <v>1853</v>
      </c>
    </row>
    <row r="109" spans="52:66" ht="11.25" customHeight="1">
      <c r="BH109" s="364" t="s">
        <v>1854</v>
      </c>
    </row>
    <row r="110" spans="52:66" ht="11.25" customHeight="1">
      <c r="AZ110" s="363" t="s">
        <v>1855</v>
      </c>
      <c r="BH110" s="364" t="s">
        <v>1854</v>
      </c>
    </row>
    <row r="111" spans="52:66" ht="11.25" customHeight="1">
      <c r="AZ111" s="364" t="s">
        <v>1816</v>
      </c>
      <c r="BA111" s="4" t="s">
        <v>1817</v>
      </c>
    </row>
    <row r="112" spans="52:66" ht="11.25" customHeight="1">
      <c r="AZ112" s="364" t="s">
        <v>1822</v>
      </c>
      <c r="BA112" s="4" t="s">
        <v>1823</v>
      </c>
    </row>
    <row r="113" spans="52:60" ht="22.5" customHeight="1">
      <c r="AZ113" s="364" t="s">
        <v>1828</v>
      </c>
      <c r="BA113" s="4" t="str">
        <f>"не позднее чем за "&amp;IF(TEMPLATE_SPHERE="TKO","3","10")&amp;" дней до дня проведения заседания правления"</f>
        <v>не позднее чем за 10 дней до дня проведения заседания правления</v>
      </c>
    </row>
    <row r="114" spans="52:60" ht="22.5" customHeight="1">
      <c r="AZ114" s="364" t="s">
        <v>1833</v>
      </c>
      <c r="BA114" s="4"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4" s="363" t="s">
        <v>1856</v>
      </c>
    </row>
    <row r="115" spans="52:60" ht="22.5" customHeight="1">
      <c r="AZ115" s="364" t="s">
        <v>1838</v>
      </c>
      <c r="BA115" s="4"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5" s="364" t="s">
        <v>1219</v>
      </c>
    </row>
    <row r="116" spans="52:60" ht="11.25" customHeight="1">
      <c r="AZ116" s="364" t="s">
        <v>1840</v>
      </c>
      <c r="BA116" s="4" t="s">
        <v>1841</v>
      </c>
      <c r="BH116" s="364" t="s">
        <v>1244</v>
      </c>
    </row>
    <row r="117" spans="52:60" ht="11.25" customHeight="1">
      <c r="BH117" s="364" t="s">
        <v>1279</v>
      </c>
    </row>
    <row r="118" spans="52:60" ht="11.25" customHeight="1">
      <c r="BH118" s="364" t="s">
        <v>1312</v>
      </c>
    </row>
  </sheetData>
  <sheetProtection formatColumns="0" formatRows="0"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legacyDrawing r:id="rId1"/>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22A031-58F2-8D2A-A324-4562E96FBEAD}">
  <dimension ref="A1:J25"/>
  <sheetViews>
    <sheetView showGridLines="0" zoomScale="90" workbookViewId="0">
      <pane xSplit="5" ySplit="11" topLeftCell="F12" activePane="bottomRight" state="frozen"/>
      <selection pane="topRight" activeCell="F1" sqref="F1"/>
      <selection pane="bottomLeft" activeCell="A12" sqref="A12"/>
      <selection pane="bottomRight"/>
    </sheetView>
  </sheetViews>
  <sheetFormatPr defaultColWidth="9.140625" defaultRowHeight="11.25" customHeight="1"/>
  <cols>
    <col min="1" max="2" width="15" style="159" hidden="1" customWidth="1"/>
    <col min="3" max="3" width="3" style="140" customWidth="1"/>
    <col min="4" max="4" width="6" style="140" customWidth="1"/>
    <col min="5" max="5" width="52" style="140" customWidth="1"/>
    <col min="6" max="6" width="48" style="140" customWidth="1"/>
    <col min="7" max="7" width="93" style="140" customWidth="1"/>
    <col min="8" max="8" width="8" style="140" customWidth="1"/>
    <col min="9" max="9" width="64" style="140" customWidth="1"/>
    <col min="10" max="10" width="9.140625" style="140" hidden="1"/>
  </cols>
  <sheetData>
    <row r="1" spans="1:10" ht="11.25" hidden="1" customHeight="1">
      <c r="A1" s="159" t="s">
        <v>302</v>
      </c>
      <c r="J1" s="140" t="s">
        <v>14</v>
      </c>
    </row>
    <row r="2" spans="1:10" ht="22.5" hidden="1" customHeight="1">
      <c r="C2" s="542" t="s">
        <v>123</v>
      </c>
      <c r="D2" s="148"/>
      <c r="E2" s="74"/>
      <c r="F2" s="116"/>
      <c r="H2" s="149"/>
      <c r="J2" s="140">
        <v>0</v>
      </c>
    </row>
    <row r="3" spans="1:10" ht="11.25" hidden="1" customHeight="1">
      <c r="J3" s="140">
        <v>0</v>
      </c>
    </row>
    <row r="4" spans="1:10" ht="11.45" customHeight="1">
      <c r="A4" s="494"/>
      <c r="B4" s="494"/>
      <c r="J4" s="140">
        <v>11</v>
      </c>
    </row>
    <row r="5" spans="1:10" ht="27.4" customHeight="1">
      <c r="D5" s="672"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2. Информация об органе регулирования тарифов в сфере теплоснабжения (далее – орган регулирования тарифов)</v>
      </c>
      <c r="E5" s="673"/>
      <c r="F5" s="674"/>
      <c r="I5" s="231"/>
      <c r="J5" s="140">
        <v>26</v>
      </c>
    </row>
    <row r="6" spans="1:10" ht="18" customHeight="1">
      <c r="D6" s="712" t="str">
        <f>IF(region_name=0,"Не определено",region_name)</f>
        <v>Томская область</v>
      </c>
      <c r="E6" s="712"/>
      <c r="F6" s="712"/>
      <c r="I6" s="231"/>
      <c r="J6" s="140">
        <v>17</v>
      </c>
    </row>
    <row r="7" spans="1:10" s="84" customFormat="1" ht="11.45" customHeight="1">
      <c r="A7" s="159"/>
      <c r="B7" s="159"/>
      <c r="D7" s="230"/>
      <c r="E7" s="230"/>
      <c r="F7" s="247"/>
      <c r="G7" s="230"/>
      <c r="J7" s="84">
        <v>11</v>
      </c>
    </row>
    <row r="8" spans="1:10" ht="11.25" hidden="1" customHeight="1">
      <c r="C8" s="6"/>
      <c r="D8" s="6"/>
      <c r="E8" s="723"/>
      <c r="F8" s="723"/>
      <c r="J8" s="140">
        <v>0</v>
      </c>
    </row>
    <row r="9" spans="1:10" ht="11.45" customHeight="1">
      <c r="C9" s="6"/>
      <c r="D9" s="721" t="s">
        <v>303</v>
      </c>
      <c r="E9" s="722"/>
      <c r="F9" s="722"/>
      <c r="G9" s="721" t="s">
        <v>304</v>
      </c>
      <c r="J9" s="140">
        <v>11</v>
      </c>
    </row>
    <row r="10" spans="1:10" ht="11.45" customHeight="1">
      <c r="C10" s="6"/>
      <c r="D10" s="148" t="s">
        <v>88</v>
      </c>
      <c r="E10" s="99" t="s">
        <v>305</v>
      </c>
      <c r="F10" s="99" t="s">
        <v>306</v>
      </c>
      <c r="G10" s="722"/>
      <c r="J10" s="140">
        <v>11</v>
      </c>
    </row>
    <row r="11" spans="1:10" ht="1.1499999999999999" customHeight="1">
      <c r="C11" s="6"/>
      <c r="D11" s="144"/>
      <c r="E11" s="144"/>
      <c r="F11" s="144"/>
      <c r="G11" s="144"/>
      <c r="J11" s="140">
        <v>1</v>
      </c>
    </row>
    <row r="12" spans="1:10" ht="24" customHeight="1">
      <c r="C12" s="6"/>
      <c r="D12" s="148">
        <v>1</v>
      </c>
      <c r="E12" s="24"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 xml:space="preserve">Наименование органа тарифного регулирования </v>
      </c>
      <c r="F12" s="594" t="str">
        <f>IF(org="","",org)</f>
        <v>ООО "Восточная Тепловая компания"</v>
      </c>
      <c r="G12" s="24"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тарифного  регулирования  образован.</v>
      </c>
      <c r="H12" s="483"/>
      <c r="J12" s="140">
        <v>23</v>
      </c>
    </row>
    <row r="13" spans="1:10" ht="19.899999999999999" customHeight="1">
      <c r="C13" s="6"/>
      <c r="D13" s="148">
        <v>2</v>
      </c>
      <c r="E13" s="24" t="s">
        <v>1857</v>
      </c>
      <c r="F13" s="29" t="s">
        <v>309</v>
      </c>
      <c r="G13" s="24"/>
      <c r="H13" s="483"/>
      <c r="J13" s="140">
        <v>19</v>
      </c>
    </row>
    <row r="14" spans="1:10" ht="19.899999999999999" customHeight="1">
      <c r="C14" s="6"/>
      <c r="D14" s="31" t="s">
        <v>712</v>
      </c>
      <c r="E14" s="29" t="s">
        <v>1858</v>
      </c>
      <c r="F14" s="74"/>
      <c r="G14" s="29" t="s">
        <v>1859</v>
      </c>
      <c r="H14" s="483"/>
      <c r="J14" s="140">
        <v>19</v>
      </c>
    </row>
    <row r="15" spans="1:10" ht="19.899999999999999" customHeight="1">
      <c r="C15" s="6"/>
      <c r="D15" s="31" t="s">
        <v>310</v>
      </c>
      <c r="E15" s="29" t="s">
        <v>1860</v>
      </c>
      <c r="F15" s="74"/>
      <c r="G15" s="29" t="s">
        <v>1861</v>
      </c>
      <c r="H15" s="483"/>
      <c r="J15" s="140">
        <v>19</v>
      </c>
    </row>
    <row r="16" spans="1:10" ht="24" customHeight="1">
      <c r="C16" s="6"/>
      <c r="D16" s="31" t="s">
        <v>313</v>
      </c>
      <c r="E16" s="24" t="s">
        <v>1862</v>
      </c>
      <c r="F16" s="25"/>
      <c r="G16" s="24" t="s">
        <v>1863</v>
      </c>
      <c r="H16" s="483"/>
      <c r="J16" s="140">
        <v>23</v>
      </c>
    </row>
    <row r="17" spans="1:10" ht="48.2" customHeight="1">
      <c r="C17" s="6"/>
      <c r="D17" s="148">
        <v>3</v>
      </c>
      <c r="E17" s="24" t="s">
        <v>1864</v>
      </c>
      <c r="F17" s="74"/>
      <c r="G17" s="24" t="s">
        <v>1865</v>
      </c>
      <c r="H17" s="483"/>
      <c r="J17" s="140">
        <v>46</v>
      </c>
    </row>
    <row r="18" spans="1:10" ht="48.2" customHeight="1">
      <c r="A18" s="159">
        <v>1</v>
      </c>
      <c r="C18" s="153"/>
      <c r="D18" s="148" t="s">
        <v>91</v>
      </c>
      <c r="E18" s="24" t="s">
        <v>1866</v>
      </c>
      <c r="F18" s="74"/>
      <c r="G18" s="24" t="s">
        <v>1865</v>
      </c>
      <c r="H18" s="483"/>
      <c r="I18" s="231"/>
      <c r="J18" s="140">
        <v>46</v>
      </c>
    </row>
    <row r="19" spans="1:10" ht="23.25" customHeight="1">
      <c r="C19" s="6"/>
      <c r="D19" s="148" t="s">
        <v>112</v>
      </c>
      <c r="E19" s="24" t="s">
        <v>1867</v>
      </c>
      <c r="F19" s="29" t="s">
        <v>309</v>
      </c>
      <c r="G19" s="843" t="s">
        <v>1868</v>
      </c>
      <c r="H19" s="149"/>
      <c r="J19" s="140">
        <v>22</v>
      </c>
    </row>
    <row r="20" spans="1:10" s="481" customFormat="1" ht="5.25" hidden="1" customHeight="1">
      <c r="A20" s="159"/>
      <c r="B20" s="159"/>
      <c r="C20" s="480"/>
      <c r="D20" s="294" t="s">
        <v>1119</v>
      </c>
      <c r="E20" s="294"/>
      <c r="F20" s="174"/>
      <c r="G20" s="844"/>
      <c r="J20" s="481">
        <v>0</v>
      </c>
    </row>
    <row r="21" spans="1:10" ht="15.75" customHeight="1">
      <c r="C21" s="6"/>
      <c r="D21" s="28"/>
      <c r="E21" s="37" t="s">
        <v>342</v>
      </c>
      <c r="F21" s="146"/>
      <c r="G21" s="841"/>
      <c r="H21" s="483"/>
      <c r="J21" s="140">
        <v>15</v>
      </c>
    </row>
    <row r="22" spans="1:10" s="159" customFormat="1" ht="26.25" customHeight="1">
      <c r="D22" s="148" t="s">
        <v>92</v>
      </c>
      <c r="E22" s="24" t="s">
        <v>1869</v>
      </c>
      <c r="F22" s="74"/>
      <c r="G22" s="24" t="s">
        <v>1870</v>
      </c>
      <c r="H22" s="482"/>
      <c r="J22" s="159">
        <v>25</v>
      </c>
    </row>
    <row r="23" spans="1:10" s="159" customFormat="1" ht="19.899999999999999" customHeight="1">
      <c r="D23" s="148" t="s">
        <v>93</v>
      </c>
      <c r="E23" s="24" t="s">
        <v>1871</v>
      </c>
      <c r="F23" s="25"/>
      <c r="G23" s="24" t="s">
        <v>1872</v>
      </c>
      <c r="H23" s="482"/>
      <c r="J23" s="159">
        <v>19</v>
      </c>
    </row>
    <row r="24" spans="1:10" s="159" customFormat="1" ht="144" hidden="1" customHeight="1">
      <c r="D24" s="148" t="s">
        <v>113</v>
      </c>
      <c r="E24" s="24"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цен (тарифов) в сфере теплоснабжения в случае, если региональный государственный контроль (надзор) в области регулирования цен (тарифов) в сфере теплоснабжения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цен (тарифов)</v>
      </c>
      <c r="F24" s="595"/>
      <c r="G24" s="24"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Раскрывается исполнительным органом субъекта Российской Федерации в области государственного регулирования цен (тарифов). Указывается ссылка на документ, предварительно загруженный в хранилище файлов ФГИС ЕИАС.</v>
      </c>
      <c r="H24" s="482"/>
      <c r="J24" s="159">
        <v>0</v>
      </c>
    </row>
    <row r="25" spans="1:10" ht="11.25" hidden="1" customHeight="1">
      <c r="A25" s="159" t="s">
        <v>82</v>
      </c>
      <c r="B25" s="159">
        <v>0</v>
      </c>
      <c r="C25" s="140">
        <v>3</v>
      </c>
      <c r="D25" s="140">
        <v>6</v>
      </c>
      <c r="E25" s="140">
        <v>52</v>
      </c>
      <c r="F25" s="140">
        <v>48</v>
      </c>
      <c r="G25" s="140">
        <v>93</v>
      </c>
      <c r="H25" s="140">
        <v>8</v>
      </c>
      <c r="I25" s="140">
        <v>64</v>
      </c>
      <c r="J25" s="140">
        <v>11</v>
      </c>
    </row>
  </sheetData>
  <sheetProtection formatColumns="0" formatRows="0" insertRows="0" deleteColumns="0" deleteRows="0" sort="0" autoFilter="0"/>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sqref="F12 F14:F18 F22:F23" xr:uid="{00000000-0002-0000-3300-000000000000}">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4" xr:uid="{00000000-0002-0000-3300-000001000000}">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A8BDB9-2EC2-AAF7-E6C6-43A8518E16AE}">
  <dimension ref="A1:IU24"/>
  <sheetViews>
    <sheetView showGridLines="0" zoomScale="90" workbookViewId="0">
      <pane xSplit="5" ySplit="8" topLeftCell="F9" activePane="bottomRight" state="frozen"/>
      <selection pane="topRight" activeCell="F1" sqref="F1"/>
      <selection pane="bottomLeft" activeCell="A9" sqref="A9"/>
      <selection pane="bottomRight"/>
    </sheetView>
  </sheetViews>
  <sheetFormatPr defaultColWidth="9.140625" defaultRowHeight="14.25" customHeight="1"/>
  <cols>
    <col min="1" max="1" width="9.140625" style="4" hidden="1"/>
    <col min="2" max="2" width="9.140625" style="43" hidden="1"/>
    <col min="3" max="3" width="3.7109375" style="4" hidden="1" customWidth="1"/>
    <col min="4" max="4" width="3" style="16" customWidth="1"/>
    <col min="5" max="5" width="6" style="4" customWidth="1"/>
    <col min="6" max="6" width="46" style="4" customWidth="1"/>
    <col min="7" max="8" width="16" style="4" customWidth="1"/>
    <col min="9" max="9" width="35" style="4" customWidth="1"/>
    <col min="10" max="10" width="89" style="4" customWidth="1"/>
    <col min="11" max="11" width="3" style="46" customWidth="1"/>
    <col min="12" max="14" width="8" style="46" customWidth="1"/>
    <col min="15" max="15" width="25" style="46" customWidth="1"/>
    <col min="16" max="16" width="14" style="46" customWidth="1"/>
    <col min="17" max="20" width="8" style="78" customWidth="1"/>
    <col min="21" max="254" width="8" style="4" customWidth="1"/>
    <col min="255" max="255" width="9.140625" style="4" hidden="1"/>
  </cols>
  <sheetData>
    <row r="1" spans="1:255" ht="22.5" hidden="1" customHeight="1">
      <c r="F1" s="4" t="s">
        <v>1873</v>
      </c>
      <c r="G1" s="4" t="s">
        <v>48</v>
      </c>
      <c r="H1" s="4" t="s">
        <v>50</v>
      </c>
      <c r="IU1" s="4" t="s">
        <v>14</v>
      </c>
    </row>
    <row r="2" spans="1:255" ht="22.5" hidden="1" customHeight="1">
      <c r="B2" s="43">
        <v>1</v>
      </c>
      <c r="C2" s="43"/>
      <c r="D2" s="606" t="s">
        <v>123</v>
      </c>
      <c r="E2" s="29"/>
      <c r="F2" s="69"/>
      <c r="G2" s="69"/>
      <c r="H2" s="69"/>
      <c r="I2" s="613"/>
      <c r="J2" s="614"/>
      <c r="K2" s="485"/>
      <c r="N2" s="46" t="str">
        <f t="array" ref="N2">IF(ISERROR(MATCH(MID(O2,1,250),MID(note_ter,1,250),0)),"n","y")</f>
        <v>n</v>
      </c>
      <c r="P2" s="46" t="str">
        <f>G2&amp;"("&amp;J2&amp;")"</f>
        <v>()</v>
      </c>
      <c r="Q2" s="43"/>
      <c r="R2" s="43"/>
      <c r="S2" s="135"/>
      <c r="T2" s="43"/>
      <c r="U2" s="43"/>
      <c r="V2" s="43"/>
      <c r="W2" s="43"/>
      <c r="X2" s="43"/>
      <c r="Y2" s="46"/>
      <c r="Z2" s="46"/>
      <c r="AA2" s="46"/>
      <c r="AB2" s="46"/>
      <c r="AC2" s="46"/>
      <c r="AD2" s="46"/>
      <c r="AE2" s="46"/>
      <c r="AF2" s="46"/>
      <c r="AG2" s="46"/>
      <c r="AH2" s="46"/>
      <c r="AI2" s="46"/>
      <c r="AJ2" s="46"/>
      <c r="AK2" s="46"/>
      <c r="AL2" s="46"/>
      <c r="AM2" s="46"/>
      <c r="AN2" s="46"/>
      <c r="AO2" s="46"/>
      <c r="AP2" s="46"/>
      <c r="AQ2" s="46"/>
      <c r="AR2" s="46"/>
      <c r="AS2" s="46"/>
      <c r="AT2" s="46"/>
      <c r="AU2" s="46"/>
      <c r="AV2" s="46"/>
      <c r="AW2" s="46"/>
      <c r="AX2" s="46"/>
      <c r="AY2" s="46"/>
      <c r="AZ2" s="46"/>
      <c r="BA2" s="46"/>
      <c r="BB2" s="46"/>
      <c r="BC2" s="46"/>
      <c r="BD2" s="46"/>
      <c r="BE2" s="46"/>
      <c r="BF2" s="46"/>
      <c r="BG2" s="46"/>
      <c r="BH2" s="46"/>
      <c r="BI2" s="46"/>
      <c r="BJ2" s="46"/>
      <c r="BK2" s="46"/>
      <c r="BL2" s="46"/>
      <c r="BM2" s="46"/>
      <c r="BN2" s="46"/>
      <c r="BO2" s="46"/>
      <c r="BP2" s="46"/>
      <c r="BQ2" s="46"/>
      <c r="BR2" s="46"/>
      <c r="BS2" s="46"/>
      <c r="BT2" s="43"/>
      <c r="BU2" s="43"/>
      <c r="BV2" s="43"/>
      <c r="BW2" s="43"/>
      <c r="BX2" s="43"/>
      <c r="BY2" s="43"/>
      <c r="BZ2" s="43"/>
      <c r="CA2" s="43"/>
      <c r="CB2" s="43"/>
      <c r="CC2" s="43"/>
      <c r="CD2"/>
      <c r="CE2"/>
      <c r="CF2"/>
      <c r="CG2"/>
      <c r="CH2"/>
      <c r="CI2"/>
      <c r="CJ2"/>
      <c r="CK2"/>
      <c r="CL2"/>
      <c r="CM2"/>
      <c r="CN2"/>
      <c r="CO2"/>
      <c r="CP2"/>
      <c r="CQ2"/>
      <c r="CR2"/>
      <c r="CS2"/>
      <c r="CT2"/>
      <c r="CU2"/>
      <c r="CV2"/>
      <c r="CW2"/>
      <c r="CX2"/>
      <c r="CY2"/>
      <c r="CZ2"/>
      <c r="DA2"/>
      <c r="DB2"/>
      <c r="DC2"/>
      <c r="DD2"/>
      <c r="DE2"/>
      <c r="DF2"/>
      <c r="DG2"/>
      <c r="DH2"/>
      <c r="DI2"/>
      <c r="DJ2"/>
      <c r="DK2"/>
      <c r="DL2"/>
      <c r="DM2"/>
      <c r="DN2"/>
      <c r="DO2"/>
      <c r="DP2"/>
      <c r="DQ2"/>
      <c r="DR2"/>
      <c r="DS2"/>
      <c r="DT2"/>
      <c r="DU2"/>
      <c r="DV2"/>
      <c r="DW2"/>
      <c r="DX2"/>
      <c r="DY2"/>
      <c r="DZ2"/>
      <c r="EA2"/>
      <c r="EB2"/>
      <c r="EC2"/>
      <c r="ED2"/>
      <c r="EE2"/>
      <c r="EF2"/>
      <c r="EG2"/>
      <c r="EH2"/>
      <c r="EI2"/>
      <c r="EJ2"/>
      <c r="EK2"/>
      <c r="EL2"/>
      <c r="EM2"/>
      <c r="EN2"/>
      <c r="EO2"/>
      <c r="EP2"/>
      <c r="EQ2"/>
      <c r="ER2"/>
      <c r="ES2"/>
      <c r="ET2"/>
      <c r="EU2"/>
      <c r="EV2"/>
      <c r="EW2"/>
      <c r="EX2"/>
      <c r="EY2"/>
      <c r="EZ2"/>
      <c r="FA2"/>
      <c r="FB2"/>
      <c r="FC2"/>
      <c r="FD2"/>
      <c r="FE2"/>
      <c r="FF2"/>
      <c r="FG2"/>
      <c r="FH2"/>
      <c r="FI2"/>
      <c r="FJ2"/>
      <c r="FK2"/>
      <c r="FL2"/>
      <c r="FM2"/>
      <c r="FN2"/>
      <c r="FO2"/>
      <c r="FP2"/>
      <c r="FQ2"/>
      <c r="FR2"/>
      <c r="FS2"/>
      <c r="FT2"/>
      <c r="FU2"/>
      <c r="FV2"/>
      <c r="FW2"/>
      <c r="FX2"/>
      <c r="FY2"/>
      <c r="FZ2"/>
      <c r="GA2"/>
      <c r="GB2"/>
      <c r="GC2"/>
      <c r="GD2"/>
      <c r="GE2"/>
      <c r="GF2"/>
      <c r="GG2"/>
      <c r="GH2"/>
      <c r="GI2"/>
      <c r="GJ2"/>
      <c r="GK2"/>
      <c r="GL2"/>
      <c r="GM2"/>
      <c r="GN2"/>
      <c r="GO2"/>
      <c r="GP2"/>
      <c r="GQ2"/>
      <c r="GR2"/>
      <c r="GS2"/>
      <c r="GT2"/>
      <c r="GU2"/>
      <c r="GV2"/>
      <c r="GW2"/>
      <c r="GX2"/>
      <c r="GY2"/>
      <c r="GZ2"/>
      <c r="HA2"/>
      <c r="HB2"/>
      <c r="HC2"/>
      <c r="HD2"/>
      <c r="HE2"/>
      <c r="HF2"/>
      <c r="HG2"/>
      <c r="HH2"/>
      <c r="HI2"/>
      <c r="HJ2"/>
      <c r="HK2"/>
      <c r="HL2"/>
      <c r="HM2"/>
      <c r="HN2"/>
      <c r="HO2"/>
      <c r="HP2"/>
      <c r="HQ2"/>
      <c r="HR2"/>
      <c r="HS2"/>
      <c r="HT2"/>
      <c r="HU2"/>
      <c r="HV2"/>
      <c r="HW2"/>
      <c r="HX2"/>
      <c r="HY2"/>
      <c r="HZ2"/>
      <c r="IA2"/>
      <c r="IB2"/>
      <c r="IC2"/>
      <c r="ID2"/>
      <c r="IE2"/>
      <c r="IF2"/>
      <c r="IG2"/>
      <c r="IH2"/>
      <c r="II2"/>
      <c r="IJ2"/>
      <c r="IK2"/>
      <c r="IL2"/>
      <c r="IM2"/>
      <c r="IN2"/>
      <c r="IO2"/>
      <c r="IP2"/>
      <c r="IQ2"/>
      <c r="IR2"/>
      <c r="IS2"/>
      <c r="IT2"/>
      <c r="IU2">
        <v>0</v>
      </c>
    </row>
    <row r="3" spans="1:255" s="46" customFormat="1" ht="4.1500000000000004" customHeight="1">
      <c r="A3" s="117"/>
      <c r="F3" s="46" t="s">
        <v>83</v>
      </c>
      <c r="G3" s="46" t="s">
        <v>84</v>
      </c>
      <c r="J3" s="46" t="s">
        <v>85</v>
      </c>
      <c r="K3" s="46" t="s">
        <v>83</v>
      </c>
      <c r="IU3" s="46">
        <v>4</v>
      </c>
    </row>
    <row r="4" spans="1:255" s="32" customFormat="1" ht="14.65" customHeight="1">
      <c r="A4" s="4"/>
      <c r="B4" s="43"/>
      <c r="C4" s="4"/>
      <c r="D4" s="16"/>
      <c r="E4" s="4"/>
      <c r="F4" s="46"/>
      <c r="G4" s="4"/>
      <c r="H4" s="4"/>
      <c r="I4" s="4"/>
      <c r="J4" s="4"/>
      <c r="K4" s="46"/>
      <c r="L4" s="46"/>
      <c r="M4" s="46"/>
      <c r="N4" s="46"/>
      <c r="O4" s="46"/>
      <c r="P4" s="46"/>
      <c r="Q4" s="78"/>
      <c r="R4" s="78"/>
      <c r="S4" s="78"/>
      <c r="T4" s="78"/>
      <c r="IU4" s="32">
        <v>14</v>
      </c>
    </row>
    <row r="5" spans="1:255" s="32" customFormat="1" ht="27.4" customHeight="1">
      <c r="A5" s="4"/>
      <c r="B5" s="43"/>
      <c r="C5" s="4"/>
      <c r="D5" s="16"/>
      <c r="E5" s="666"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3. Перечень 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v>
      </c>
      <c r="F5" s="666"/>
      <c r="G5" s="666"/>
      <c r="H5" s="666"/>
      <c r="I5" s="666"/>
      <c r="J5" s="666"/>
      <c r="K5" s="46"/>
      <c r="L5" s="46"/>
      <c r="M5" s="46"/>
      <c r="N5" s="46"/>
      <c r="O5" s="46"/>
      <c r="P5" s="46"/>
      <c r="Q5" s="78"/>
      <c r="R5" s="78"/>
      <c r="S5" s="78"/>
      <c r="T5" s="78"/>
      <c r="IU5" s="32">
        <v>26</v>
      </c>
    </row>
    <row r="6" spans="1:255" s="32" customFormat="1" ht="14.65" customHeight="1">
      <c r="A6" s="4"/>
      <c r="B6" s="43"/>
      <c r="C6" s="4"/>
      <c r="D6" s="16"/>
      <c r="E6" s="4"/>
      <c r="F6" s="51"/>
      <c r="G6" s="51"/>
      <c r="H6" s="51"/>
      <c r="I6" s="51"/>
      <c r="J6" s="4"/>
      <c r="K6" s="46"/>
      <c r="L6" s="46"/>
      <c r="M6" s="46"/>
      <c r="N6" s="46"/>
      <c r="O6" s="46"/>
      <c r="P6" s="46"/>
      <c r="Q6" s="78"/>
      <c r="R6" s="78"/>
      <c r="S6" s="78"/>
      <c r="T6" s="78"/>
      <c r="IU6" s="32">
        <v>14</v>
      </c>
    </row>
    <row r="7" spans="1:255" s="32" customFormat="1" ht="14.65" customHeight="1">
      <c r="A7" s="4"/>
      <c r="B7" s="43"/>
      <c r="C7" s="4"/>
      <c r="D7" s="16"/>
      <c r="E7" s="662" t="s">
        <v>303</v>
      </c>
      <c r="F7" s="666"/>
      <c r="G7" s="666"/>
      <c r="H7" s="666"/>
      <c r="I7" s="666"/>
      <c r="J7" s="845" t="s">
        <v>304</v>
      </c>
      <c r="K7" s="46"/>
      <c r="L7" s="46"/>
      <c r="M7" s="46"/>
      <c r="N7" s="46"/>
      <c r="O7" s="46"/>
      <c r="P7" s="46"/>
      <c r="Q7" s="78"/>
      <c r="R7" s="78"/>
      <c r="S7" s="78"/>
      <c r="T7" s="78"/>
      <c r="IU7" s="32">
        <v>14</v>
      </c>
    </row>
    <row r="8" spans="1:255" s="32" customFormat="1" ht="21" customHeight="1">
      <c r="A8" s="4"/>
      <c r="B8" s="43"/>
      <c r="C8" s="4"/>
      <c r="D8" s="16"/>
      <c r="E8" s="493" t="s">
        <v>88</v>
      </c>
      <c r="F8" s="489" t="s">
        <v>1873</v>
      </c>
      <c r="G8" s="489" t="s">
        <v>48</v>
      </c>
      <c r="H8" s="489" t="s">
        <v>50</v>
      </c>
      <c r="I8" s="489" t="s">
        <v>1874</v>
      </c>
      <c r="J8" s="846"/>
      <c r="K8" s="46"/>
      <c r="L8" s="46"/>
      <c r="M8" s="46"/>
      <c r="N8" s="46"/>
      <c r="O8" s="46"/>
      <c r="P8" s="46"/>
      <c r="Q8" s="78"/>
      <c r="R8" s="78"/>
      <c r="S8" s="78"/>
      <c r="T8" s="78"/>
      <c r="IU8" s="32">
        <v>20</v>
      </c>
    </row>
    <row r="9" spans="1:255" ht="23.25" customHeight="1">
      <c r="B9" s="43">
        <v>1</v>
      </c>
      <c r="C9" s="43"/>
      <c r="D9" s="56"/>
      <c r="E9" s="29">
        <v>1</v>
      </c>
      <c r="F9" s="164"/>
      <c r="G9" s="69"/>
      <c r="H9" s="69"/>
      <c r="I9" s="487"/>
      <c r="J9" s="673"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xml:space="preserve">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485"/>
      <c r="N9" s="46" t="str">
        <f t="array" ref="N9">IF(ISERROR(MATCH(MID(O9,1,250),MID(note_ter,1,250),0)),"n","y")</f>
        <v>n</v>
      </c>
      <c r="P9" s="46"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43"/>
      <c r="R9" s="43"/>
      <c r="S9" s="135"/>
      <c r="T9" s="43"/>
      <c r="U9" s="43"/>
      <c r="V9" s="43"/>
      <c r="W9" s="43"/>
      <c r="X9" s="43"/>
      <c r="Y9" s="46"/>
      <c r="Z9" s="46"/>
      <c r="AA9" s="46"/>
      <c r="AB9" s="46"/>
      <c r="AC9" s="46"/>
      <c r="AD9" s="46"/>
      <c r="AE9" s="46"/>
      <c r="AF9" s="46"/>
      <c r="AG9" s="46"/>
      <c r="AH9" s="46"/>
      <c r="AI9" s="46"/>
      <c r="AJ9" s="46"/>
      <c r="AK9" s="46"/>
      <c r="AL9" s="46"/>
      <c r="AM9" s="46"/>
      <c r="AN9" s="46"/>
      <c r="AO9" s="46"/>
      <c r="AP9" s="46"/>
      <c r="AQ9" s="46"/>
      <c r="AR9" s="46"/>
      <c r="AS9" s="46"/>
      <c r="AT9" s="46"/>
      <c r="AU9" s="46"/>
      <c r="AV9" s="46"/>
      <c r="AW9" s="46"/>
      <c r="AX9" s="46"/>
      <c r="AY9" s="46"/>
      <c r="AZ9" s="46"/>
      <c r="BA9" s="46"/>
      <c r="BB9" s="46"/>
      <c r="BC9" s="46"/>
      <c r="BD9" s="46"/>
      <c r="BE9" s="46"/>
      <c r="BF9" s="46"/>
      <c r="BG9" s="46"/>
      <c r="BH9" s="46"/>
      <c r="BI9" s="46"/>
      <c r="BJ9" s="46"/>
      <c r="BK9" s="46"/>
      <c r="BL9" s="46"/>
      <c r="BM9" s="46"/>
      <c r="BN9" s="46"/>
      <c r="BO9" s="46"/>
      <c r="BP9" s="46"/>
      <c r="BQ9" s="46"/>
      <c r="BR9" s="46"/>
      <c r="BS9" s="46"/>
      <c r="BT9" s="43"/>
      <c r="BU9" s="43"/>
      <c r="BV9" s="43"/>
      <c r="BW9" s="43"/>
      <c r="BX9" s="43"/>
      <c r="BY9" s="43"/>
      <c r="BZ9" s="43"/>
      <c r="CA9" s="43"/>
      <c r="CB9" s="43"/>
      <c r="CC9" s="43"/>
      <c r="CD9"/>
      <c r="CE9"/>
      <c r="CF9"/>
      <c r="CG9"/>
      <c r="CH9"/>
      <c r="CI9"/>
      <c r="CJ9"/>
      <c r="CK9"/>
      <c r="CL9"/>
      <c r="CM9"/>
      <c r="CN9"/>
      <c r="CO9"/>
      <c r="CP9"/>
      <c r="CQ9"/>
      <c r="CR9"/>
      <c r="CS9"/>
      <c r="CT9"/>
      <c r="CU9"/>
      <c r="CV9"/>
      <c r="CW9"/>
      <c r="CX9"/>
      <c r="CY9"/>
      <c r="CZ9"/>
      <c r="DA9"/>
      <c r="DB9"/>
      <c r="DC9"/>
      <c r="DD9"/>
      <c r="DE9"/>
      <c r="DF9"/>
      <c r="DG9"/>
      <c r="DH9"/>
      <c r="DI9"/>
      <c r="DJ9"/>
      <c r="DK9"/>
      <c r="DL9"/>
      <c r="DM9"/>
      <c r="DN9"/>
      <c r="DO9"/>
      <c r="DP9"/>
      <c r="DQ9"/>
      <c r="DR9"/>
      <c r="DS9"/>
      <c r="DT9"/>
      <c r="DU9"/>
      <c r="DV9"/>
      <c r="DW9"/>
      <c r="DX9"/>
      <c r="DY9"/>
      <c r="DZ9"/>
      <c r="EA9"/>
      <c r="EB9"/>
      <c r="EC9"/>
      <c r="ED9"/>
      <c r="EE9"/>
      <c r="EF9"/>
      <c r="EG9"/>
      <c r="EH9"/>
      <c r="EI9"/>
      <c r="EJ9"/>
      <c r="EK9"/>
      <c r="EL9"/>
      <c r="EM9"/>
      <c r="EN9"/>
      <c r="EO9"/>
      <c r="EP9"/>
      <c r="EQ9"/>
      <c r="ER9"/>
      <c r="ES9"/>
      <c r="ET9"/>
      <c r="EU9"/>
      <c r="EV9"/>
      <c r="EW9"/>
      <c r="EX9"/>
      <c r="EY9"/>
      <c r="EZ9"/>
      <c r="FA9"/>
      <c r="FB9"/>
      <c r="FC9"/>
      <c r="FD9"/>
      <c r="FE9"/>
      <c r="FF9"/>
      <c r="FG9"/>
      <c r="FH9"/>
      <c r="FI9"/>
      <c r="FJ9"/>
      <c r="FK9"/>
      <c r="FL9"/>
      <c r="FM9"/>
      <c r="FN9"/>
      <c r="FO9"/>
      <c r="FP9"/>
      <c r="FQ9"/>
      <c r="FR9"/>
      <c r="FS9"/>
      <c r="FT9"/>
      <c r="FU9"/>
      <c r="FV9"/>
      <c r="FW9"/>
      <c r="FX9"/>
      <c r="FY9"/>
      <c r="FZ9"/>
      <c r="GA9"/>
      <c r="GB9"/>
      <c r="GC9"/>
      <c r="GD9"/>
      <c r="GE9"/>
      <c r="GF9"/>
      <c r="GG9"/>
      <c r="GH9"/>
      <c r="GI9"/>
      <c r="GJ9"/>
      <c r="GK9"/>
      <c r="GL9"/>
      <c r="GM9"/>
      <c r="GN9"/>
      <c r="GO9"/>
      <c r="GP9"/>
      <c r="GQ9"/>
      <c r="GR9"/>
      <c r="GS9"/>
      <c r="GT9"/>
      <c r="GU9"/>
      <c r="GV9"/>
      <c r="GW9"/>
      <c r="GX9"/>
      <c r="GY9"/>
      <c r="GZ9"/>
      <c r="HA9"/>
      <c r="HB9"/>
      <c r="HC9"/>
      <c r="HD9"/>
      <c r="HE9"/>
      <c r="HF9"/>
      <c r="HG9"/>
      <c r="HH9"/>
      <c r="HI9"/>
      <c r="HJ9"/>
      <c r="HK9"/>
      <c r="HL9"/>
      <c r="HM9"/>
      <c r="HN9"/>
      <c r="HO9"/>
      <c r="HP9"/>
      <c r="HQ9"/>
      <c r="HR9"/>
      <c r="HS9"/>
      <c r="HT9"/>
      <c r="HU9"/>
      <c r="HV9"/>
      <c r="HW9"/>
      <c r="HX9"/>
      <c r="HY9"/>
      <c r="HZ9"/>
      <c r="IA9"/>
      <c r="IB9"/>
      <c r="IC9"/>
      <c r="ID9"/>
      <c r="IE9"/>
      <c r="IF9"/>
      <c r="IG9"/>
      <c r="IH9"/>
      <c r="II9"/>
      <c r="IJ9"/>
      <c r="IK9"/>
      <c r="IL9"/>
      <c r="IM9"/>
      <c r="IN9"/>
      <c r="IO9"/>
      <c r="IP9"/>
      <c r="IQ9"/>
      <c r="IR9"/>
      <c r="IS9"/>
      <c r="IT9"/>
      <c r="IU9">
        <v>22</v>
      </c>
    </row>
    <row r="10" spans="1:255" ht="15.75" customHeight="1">
      <c r="C10" s="22"/>
      <c r="D10" s="56"/>
      <c r="E10" s="490"/>
      <c r="F10" s="130" t="s">
        <v>1875</v>
      </c>
      <c r="G10" s="491"/>
      <c r="H10" s="491"/>
      <c r="I10" s="475"/>
      <c r="J10" s="676"/>
      <c r="K10" s="485"/>
      <c r="Q10" s="43"/>
      <c r="R10" s="43"/>
      <c r="S10" s="135"/>
      <c r="T10" s="43"/>
      <c r="U10" s="43"/>
      <c r="V10" s="43"/>
      <c r="W10" s="43"/>
      <c r="X10" s="43"/>
      <c r="Y10" s="46"/>
      <c r="Z10" s="46"/>
      <c r="AA10" s="46"/>
      <c r="AB10" s="46"/>
      <c r="AC10" s="46"/>
      <c r="AD10" s="46"/>
      <c r="AE10" s="46"/>
      <c r="AF10" s="46"/>
      <c r="AG10" s="46"/>
      <c r="AH10" s="46"/>
      <c r="AI10" s="46"/>
      <c r="AJ10" s="46"/>
      <c r="AK10" s="46"/>
      <c r="AL10" s="46"/>
      <c r="AM10" s="46"/>
      <c r="AN10" s="46"/>
      <c r="AO10" s="46"/>
      <c r="AP10" s="46"/>
      <c r="AQ10" s="46"/>
      <c r="AR10" s="46"/>
      <c r="AS10" s="46"/>
      <c r="AT10" s="46"/>
      <c r="AU10" s="46"/>
      <c r="AV10" s="46"/>
      <c r="AW10" s="46"/>
      <c r="AX10" s="46"/>
      <c r="AY10" s="46"/>
      <c r="AZ10" s="46"/>
      <c r="BA10" s="46"/>
      <c r="BB10" s="46"/>
      <c r="BC10" s="46"/>
      <c r="BD10" s="46"/>
      <c r="BE10" s="46"/>
      <c r="BF10" s="46"/>
      <c r="BG10" s="46"/>
      <c r="BH10" s="46"/>
      <c r="BI10" s="46"/>
      <c r="BJ10" s="46"/>
      <c r="BK10" s="46"/>
      <c r="BL10" s="46"/>
      <c r="BM10" s="46"/>
      <c r="BN10" s="46"/>
      <c r="BO10" s="46"/>
      <c r="BP10" s="46"/>
      <c r="BQ10" s="46"/>
      <c r="BR10" s="46"/>
      <c r="BS10" s="46"/>
      <c r="BT10" s="43"/>
      <c r="BU10" s="43"/>
      <c r="BV10" s="43"/>
      <c r="BW10" s="43"/>
      <c r="BX10" s="43"/>
      <c r="BY10" s="43"/>
      <c r="BZ10" s="43"/>
      <c r="CA10" s="43"/>
      <c r="CB10" s="43"/>
      <c r="CC10" s="43"/>
      <c r="CD10"/>
      <c r="CE10"/>
      <c r="CF10"/>
      <c r="CG10"/>
      <c r="CH10"/>
      <c r="CI10"/>
      <c r="CJ10"/>
      <c r="CK10"/>
      <c r="CL10"/>
      <c r="CM10"/>
      <c r="CN10"/>
      <c r="CO10"/>
      <c r="CP10"/>
      <c r="CQ10"/>
      <c r="CR10"/>
      <c r="CS10"/>
      <c r="CT10"/>
      <c r="CU10"/>
      <c r="CV10"/>
      <c r="CW10"/>
      <c r="CX10"/>
      <c r="CY10"/>
      <c r="CZ10"/>
      <c r="DA10"/>
      <c r="DB10"/>
      <c r="DC10"/>
      <c r="DD10"/>
      <c r="DE10"/>
      <c r="DF10"/>
      <c r="DG10"/>
      <c r="DH10"/>
      <c r="DI10"/>
      <c r="DJ10"/>
      <c r="DK10"/>
      <c r="DL10"/>
      <c r="DM10"/>
      <c r="DN10"/>
      <c r="DO10"/>
      <c r="DP10"/>
      <c r="DQ10"/>
      <c r="DR10"/>
      <c r="DS10"/>
      <c r="DT10"/>
      <c r="DU10"/>
      <c r="DV10"/>
      <c r="DW10"/>
      <c r="DX10"/>
      <c r="DY10"/>
      <c r="DZ10"/>
      <c r="EA10"/>
      <c r="EB10"/>
      <c r="EC10"/>
      <c r="ED10"/>
      <c r="EE10"/>
      <c r="EF10"/>
      <c r="EG10"/>
      <c r="EH10"/>
      <c r="EI10"/>
      <c r="EJ10"/>
      <c r="EK10"/>
      <c r="EL10"/>
      <c r="EM10"/>
      <c r="EN10"/>
      <c r="EO10"/>
      <c r="EP10"/>
      <c r="EQ10"/>
      <c r="ER10"/>
      <c r="ES10"/>
      <c r="ET10"/>
      <c r="EU10"/>
      <c r="EV10"/>
      <c r="EW10"/>
      <c r="EX10"/>
      <c r="EY10"/>
      <c r="EZ10"/>
      <c r="FA10"/>
      <c r="FB10"/>
      <c r="FC10"/>
      <c r="FD10"/>
      <c r="FE10"/>
      <c r="FF10"/>
      <c r="FG10"/>
      <c r="FH10"/>
      <c r="FI10"/>
      <c r="FJ10"/>
      <c r="FK10"/>
      <c r="FL10"/>
      <c r="FM10"/>
      <c r="FN10"/>
      <c r="FO10"/>
      <c r="FP10"/>
      <c r="FQ10"/>
      <c r="FR10"/>
      <c r="FS10"/>
      <c r="FT10"/>
      <c r="FU10"/>
      <c r="FV10"/>
      <c r="FW10"/>
      <c r="FX10"/>
      <c r="FY10"/>
      <c r="FZ10"/>
      <c r="GA10"/>
      <c r="GB10"/>
      <c r="GC10"/>
      <c r="GD10"/>
      <c r="GE10"/>
      <c r="GF10"/>
      <c r="GG10"/>
      <c r="GH10"/>
      <c r="GI10"/>
      <c r="GJ10"/>
      <c r="GK10"/>
      <c r="GL10"/>
      <c r="GM10"/>
      <c r="GN10"/>
      <c r="GO10"/>
      <c r="GP10"/>
      <c r="GQ10"/>
      <c r="GR10"/>
      <c r="GS10"/>
      <c r="GT10"/>
      <c r="GU10"/>
      <c r="GV10"/>
      <c r="GW10"/>
      <c r="GX10"/>
      <c r="GY10"/>
      <c r="GZ10"/>
      <c r="HA10"/>
      <c r="HB10"/>
      <c r="HC10"/>
      <c r="HD10"/>
      <c r="HE10"/>
      <c r="HF10"/>
      <c r="HG10"/>
      <c r="HH10"/>
      <c r="HI10"/>
      <c r="HJ10"/>
      <c r="HK10"/>
      <c r="HL10"/>
      <c r="HM10"/>
      <c r="HN10"/>
      <c r="HO10"/>
      <c r="HP10"/>
      <c r="HQ10"/>
      <c r="HR10"/>
      <c r="HS10"/>
      <c r="HT10"/>
      <c r="HU10"/>
      <c r="HV10"/>
      <c r="HW10"/>
      <c r="HX10"/>
      <c r="HY10"/>
      <c r="HZ10"/>
      <c r="IA10"/>
      <c r="IB10"/>
      <c r="IC10"/>
      <c r="ID10"/>
      <c r="IE10"/>
      <c r="IF10"/>
      <c r="IG10"/>
      <c r="IH10"/>
      <c r="II10"/>
      <c r="IJ10"/>
      <c r="IK10"/>
      <c r="IL10"/>
      <c r="IM10"/>
      <c r="IN10"/>
      <c r="IO10"/>
      <c r="IP10"/>
      <c r="IQ10"/>
      <c r="IR10"/>
      <c r="IS10"/>
      <c r="IT10"/>
      <c r="IU10">
        <v>15</v>
      </c>
    </row>
    <row r="11" spans="1:255" s="32" customFormat="1" ht="21.95" customHeight="1">
      <c r="A11" s="4"/>
      <c r="B11" s="43"/>
      <c r="C11" s="4"/>
      <c r="D11" s="16"/>
      <c r="E11" s="60"/>
      <c r="F11" s="60"/>
      <c r="G11" s="60"/>
      <c r="H11" s="60"/>
      <c r="I11" s="60"/>
      <c r="J11" s="60"/>
      <c r="K11" s="46"/>
      <c r="L11" s="46"/>
      <c r="M11" s="46"/>
      <c r="N11" s="46"/>
      <c r="O11" s="46"/>
      <c r="P11" s="46"/>
      <c r="Q11" s="78"/>
      <c r="R11" s="78"/>
      <c r="S11" s="78"/>
      <c r="T11" s="78"/>
      <c r="IU11" s="32">
        <v>21</v>
      </c>
    </row>
    <row r="12" spans="1:255" s="32" customFormat="1" ht="14.65" customHeight="1">
      <c r="A12" s="4"/>
      <c r="B12" s="43"/>
      <c r="C12" s="4"/>
      <c r="D12" s="16"/>
      <c r="E12" s="4"/>
      <c r="F12" s="4"/>
      <c r="G12" s="4"/>
      <c r="H12" s="4"/>
      <c r="I12" s="4"/>
      <c r="J12" s="4"/>
      <c r="K12" s="46"/>
      <c r="L12" s="46"/>
      <c r="M12" s="46"/>
      <c r="N12" s="46"/>
      <c r="O12" s="46"/>
      <c r="P12" s="46"/>
      <c r="Q12" s="78"/>
      <c r="R12" s="78"/>
      <c r="S12" s="78"/>
      <c r="T12" s="78"/>
      <c r="IU12" s="32">
        <v>14</v>
      </c>
    </row>
    <row r="13" spans="1:255" s="32" customFormat="1" ht="1.1499999999999999" customHeight="1">
      <c r="A13" s="4"/>
      <c r="B13" s="43"/>
      <c r="C13" s="4"/>
      <c r="D13" s="16"/>
      <c r="E13" s="4"/>
      <c r="F13" s="4"/>
      <c r="G13" s="4"/>
      <c r="H13" s="4"/>
      <c r="I13" s="4"/>
      <c r="J13" s="4"/>
      <c r="K13" s="46"/>
      <c r="L13" s="46"/>
      <c r="M13" s="46"/>
      <c r="N13" s="46"/>
      <c r="O13" s="46"/>
      <c r="P13" s="46"/>
      <c r="Q13" s="78"/>
      <c r="R13" s="78"/>
      <c r="S13" s="78"/>
      <c r="T13" s="78"/>
      <c r="IU13" s="32">
        <v>1</v>
      </c>
    </row>
    <row r="14" spans="1:255" s="39" customFormat="1" ht="10.5" customHeight="1">
      <c r="B14" s="277"/>
      <c r="D14" s="61"/>
      <c r="K14" s="46"/>
      <c r="L14" s="46"/>
      <c r="M14" s="46"/>
      <c r="N14" s="46"/>
      <c r="O14" s="46"/>
      <c r="P14" s="46"/>
      <c r="Q14" s="78"/>
      <c r="R14" s="78"/>
      <c r="S14" s="78"/>
      <c r="T14" s="78"/>
      <c r="IU14" s="39">
        <v>10</v>
      </c>
    </row>
    <row r="15" spans="1:255" s="39" customFormat="1" ht="10.5" customHeight="1">
      <c r="B15" s="277"/>
      <c r="D15" s="61"/>
      <c r="K15" s="46"/>
      <c r="L15" s="46"/>
      <c r="M15" s="46"/>
      <c r="N15" s="46"/>
      <c r="O15" s="46"/>
      <c r="P15" s="46"/>
      <c r="Q15" s="78"/>
      <c r="R15" s="78"/>
      <c r="S15" s="78"/>
      <c r="T15" s="78"/>
      <c r="IU15" s="39">
        <v>10</v>
      </c>
    </row>
    <row r="16" spans="1:255" ht="14.65" customHeight="1">
      <c r="IU16" s="4">
        <v>14</v>
      </c>
    </row>
    <row r="17" spans="1:255" ht="14.65" customHeight="1">
      <c r="IU17" s="4">
        <v>14</v>
      </c>
    </row>
    <row r="18" spans="1:255" ht="14.65" customHeight="1">
      <c r="IU18" s="4">
        <v>14</v>
      </c>
    </row>
    <row r="19" spans="1:255" ht="14.65" customHeight="1">
      <c r="G19"/>
      <c r="H19"/>
      <c r="I19"/>
      <c r="IU19" s="4">
        <v>14</v>
      </c>
    </row>
    <row r="20" spans="1:255" ht="14.65" customHeight="1">
      <c r="IU20" s="4">
        <v>14</v>
      </c>
    </row>
    <row r="21" spans="1:255" ht="14.65" customHeight="1">
      <c r="IU21" s="4">
        <v>14</v>
      </c>
    </row>
    <row r="22" spans="1:255" ht="14.65" customHeight="1">
      <c r="IU22" s="4">
        <v>14</v>
      </c>
    </row>
    <row r="23" spans="1:255" ht="14.65" customHeight="1">
      <c r="K23" s="4"/>
      <c r="L23" s="4"/>
      <c r="M23" s="4"/>
      <c r="IU23" s="4">
        <v>14</v>
      </c>
    </row>
    <row r="24" spans="1:255" ht="22.5" hidden="1" customHeight="1">
      <c r="A24" s="4" t="s">
        <v>82</v>
      </c>
      <c r="B24" s="43">
        <v>0</v>
      </c>
      <c r="C24" s="4">
        <v>0</v>
      </c>
      <c r="D24" s="16">
        <v>3</v>
      </c>
      <c r="E24" s="4">
        <v>6</v>
      </c>
      <c r="F24" s="4">
        <v>46</v>
      </c>
      <c r="G24" s="4">
        <v>16</v>
      </c>
      <c r="H24" s="4">
        <v>16</v>
      </c>
      <c r="I24" s="4">
        <v>35</v>
      </c>
      <c r="J24" s="4">
        <v>89</v>
      </c>
      <c r="K24" s="46">
        <v>3</v>
      </c>
      <c r="L24" s="46">
        <v>8</v>
      </c>
      <c r="M24" s="46">
        <v>8</v>
      </c>
      <c r="N24" s="46">
        <v>8</v>
      </c>
      <c r="O24" s="46">
        <v>25</v>
      </c>
      <c r="P24" s="46">
        <v>14</v>
      </c>
      <c r="Q24" s="78">
        <v>8</v>
      </c>
      <c r="R24" s="78">
        <v>8</v>
      </c>
      <c r="S24" s="78">
        <v>8</v>
      </c>
      <c r="T24" s="78">
        <v>8</v>
      </c>
      <c r="U24" s="4">
        <v>8</v>
      </c>
      <c r="V24" s="4">
        <v>8</v>
      </c>
      <c r="W24" s="4">
        <v>8</v>
      </c>
      <c r="X24" s="4">
        <v>8</v>
      </c>
      <c r="Y24" s="4">
        <v>8</v>
      </c>
      <c r="Z24" s="4">
        <v>8</v>
      </c>
      <c r="AA24" s="4">
        <v>8</v>
      </c>
      <c r="AB24" s="4">
        <v>8</v>
      </c>
      <c r="AC24" s="4">
        <v>8</v>
      </c>
      <c r="AD24" s="4">
        <v>8</v>
      </c>
      <c r="AE24" s="4">
        <v>8</v>
      </c>
      <c r="AF24" s="4">
        <v>8</v>
      </c>
      <c r="AG24" s="4">
        <v>8</v>
      </c>
      <c r="AH24" s="4">
        <v>8</v>
      </c>
      <c r="AI24" s="4">
        <v>8</v>
      </c>
      <c r="AJ24" s="4">
        <v>8</v>
      </c>
      <c r="AK24" s="4">
        <v>8</v>
      </c>
      <c r="AL24" s="4">
        <v>8</v>
      </c>
      <c r="AM24" s="4">
        <v>8</v>
      </c>
      <c r="AN24" s="4">
        <v>8</v>
      </c>
      <c r="AO24" s="4">
        <v>8</v>
      </c>
      <c r="AP24" s="4">
        <v>8</v>
      </c>
      <c r="AQ24" s="4">
        <v>8</v>
      </c>
      <c r="AR24" s="4">
        <v>8</v>
      </c>
      <c r="AS24" s="4">
        <v>8</v>
      </c>
      <c r="AT24" s="4">
        <v>8</v>
      </c>
      <c r="AU24" s="4">
        <v>8</v>
      </c>
      <c r="AV24" s="4">
        <v>8</v>
      </c>
      <c r="AW24" s="4">
        <v>8</v>
      </c>
      <c r="AX24" s="4">
        <v>8</v>
      </c>
      <c r="AY24" s="4">
        <v>8</v>
      </c>
      <c r="AZ24" s="4">
        <v>8</v>
      </c>
      <c r="BA24" s="4">
        <v>8</v>
      </c>
      <c r="BB24" s="4">
        <v>8</v>
      </c>
      <c r="BC24" s="4">
        <v>8</v>
      </c>
      <c r="BD24" s="4">
        <v>8</v>
      </c>
      <c r="BE24" s="4">
        <v>8</v>
      </c>
      <c r="BF24" s="4">
        <v>8</v>
      </c>
      <c r="BG24" s="4">
        <v>8</v>
      </c>
      <c r="BH24" s="4">
        <v>8</v>
      </c>
      <c r="BI24" s="4">
        <v>8</v>
      </c>
      <c r="BJ24" s="4">
        <v>8</v>
      </c>
      <c r="BK24" s="4">
        <v>8</v>
      </c>
      <c r="BL24" s="4">
        <v>8</v>
      </c>
      <c r="BM24" s="4">
        <v>8</v>
      </c>
      <c r="BN24" s="4">
        <v>8</v>
      </c>
      <c r="BO24" s="4">
        <v>8</v>
      </c>
      <c r="BP24" s="4">
        <v>8</v>
      </c>
      <c r="BQ24" s="4">
        <v>8</v>
      </c>
      <c r="BR24" s="4">
        <v>8</v>
      </c>
      <c r="BS24" s="4">
        <v>8</v>
      </c>
      <c r="BT24" s="4">
        <v>8</v>
      </c>
      <c r="BU24" s="4">
        <v>8</v>
      </c>
      <c r="BV24" s="4">
        <v>8</v>
      </c>
      <c r="BW24" s="4">
        <v>8</v>
      </c>
      <c r="BX24" s="4">
        <v>8</v>
      </c>
      <c r="BY24" s="4">
        <v>8</v>
      </c>
      <c r="BZ24" s="4">
        <v>8</v>
      </c>
      <c r="CA24" s="4">
        <v>8</v>
      </c>
      <c r="CB24" s="4">
        <v>8</v>
      </c>
      <c r="CC24" s="4">
        <v>8</v>
      </c>
      <c r="CD24" s="4">
        <v>8</v>
      </c>
      <c r="CE24" s="4">
        <v>8</v>
      </c>
      <c r="CF24" s="4">
        <v>8</v>
      </c>
      <c r="CG24" s="4">
        <v>8</v>
      </c>
      <c r="CH24" s="4">
        <v>8</v>
      </c>
      <c r="CI24" s="4">
        <v>8</v>
      </c>
      <c r="CJ24" s="4">
        <v>8</v>
      </c>
      <c r="CK24" s="4">
        <v>8</v>
      </c>
      <c r="CL24" s="4">
        <v>8</v>
      </c>
      <c r="CM24" s="4">
        <v>8</v>
      </c>
      <c r="CN24" s="4">
        <v>8</v>
      </c>
      <c r="CO24" s="4">
        <v>8</v>
      </c>
      <c r="CP24" s="4">
        <v>8</v>
      </c>
      <c r="CQ24" s="4">
        <v>8</v>
      </c>
      <c r="CR24" s="4">
        <v>8</v>
      </c>
      <c r="CS24" s="4">
        <v>8</v>
      </c>
      <c r="CT24" s="4">
        <v>8</v>
      </c>
      <c r="CU24" s="4">
        <v>8</v>
      </c>
      <c r="CV24" s="4">
        <v>8</v>
      </c>
      <c r="CW24" s="4">
        <v>8</v>
      </c>
      <c r="CX24" s="4">
        <v>8</v>
      </c>
      <c r="CY24" s="4">
        <v>8</v>
      </c>
      <c r="CZ24" s="4">
        <v>8</v>
      </c>
      <c r="DA24" s="4">
        <v>8</v>
      </c>
      <c r="DB24" s="4">
        <v>8</v>
      </c>
      <c r="DC24" s="4">
        <v>8</v>
      </c>
      <c r="DD24" s="4">
        <v>8</v>
      </c>
      <c r="DE24" s="4">
        <v>8</v>
      </c>
      <c r="DF24" s="4">
        <v>8</v>
      </c>
      <c r="DG24" s="4">
        <v>8</v>
      </c>
      <c r="DH24" s="4">
        <v>8</v>
      </c>
      <c r="DI24" s="4">
        <v>8</v>
      </c>
      <c r="DJ24" s="4">
        <v>8</v>
      </c>
      <c r="DK24" s="4">
        <v>8</v>
      </c>
      <c r="DL24" s="4">
        <v>8</v>
      </c>
      <c r="DM24" s="4">
        <v>8</v>
      </c>
      <c r="DN24" s="4">
        <v>8</v>
      </c>
      <c r="DO24" s="4">
        <v>8</v>
      </c>
      <c r="DP24" s="4">
        <v>8</v>
      </c>
      <c r="DQ24" s="4">
        <v>8</v>
      </c>
      <c r="DR24" s="4">
        <v>8</v>
      </c>
      <c r="DS24" s="4">
        <v>8</v>
      </c>
      <c r="DT24" s="4">
        <v>8</v>
      </c>
      <c r="DU24" s="4">
        <v>8</v>
      </c>
      <c r="DV24" s="4">
        <v>8</v>
      </c>
      <c r="DW24" s="4">
        <v>8</v>
      </c>
      <c r="DX24" s="4">
        <v>8</v>
      </c>
      <c r="DY24" s="4">
        <v>8</v>
      </c>
      <c r="DZ24" s="4">
        <v>8</v>
      </c>
      <c r="EA24" s="4">
        <v>8</v>
      </c>
      <c r="EB24" s="4">
        <v>8</v>
      </c>
      <c r="EC24" s="4">
        <v>8</v>
      </c>
      <c r="ED24" s="4">
        <v>8</v>
      </c>
      <c r="EE24" s="4">
        <v>8</v>
      </c>
      <c r="EF24" s="4">
        <v>8</v>
      </c>
      <c r="EG24" s="4">
        <v>8</v>
      </c>
      <c r="EH24" s="4">
        <v>8</v>
      </c>
      <c r="EI24" s="4">
        <v>8</v>
      </c>
      <c r="EJ24" s="4">
        <v>8</v>
      </c>
      <c r="EK24" s="4">
        <v>8</v>
      </c>
      <c r="EL24" s="4">
        <v>8</v>
      </c>
      <c r="EM24" s="4">
        <v>8</v>
      </c>
      <c r="EN24" s="4">
        <v>8</v>
      </c>
      <c r="EO24" s="4">
        <v>8</v>
      </c>
      <c r="EP24" s="4">
        <v>8</v>
      </c>
      <c r="EQ24" s="4">
        <v>8</v>
      </c>
      <c r="ER24" s="4">
        <v>8</v>
      </c>
      <c r="ES24" s="4">
        <v>8</v>
      </c>
      <c r="ET24" s="4">
        <v>8</v>
      </c>
      <c r="EU24" s="4">
        <v>8</v>
      </c>
      <c r="EV24" s="4">
        <v>8</v>
      </c>
      <c r="EW24" s="4">
        <v>8</v>
      </c>
      <c r="EX24" s="4">
        <v>8</v>
      </c>
      <c r="EY24" s="4">
        <v>8</v>
      </c>
      <c r="EZ24" s="4">
        <v>8</v>
      </c>
      <c r="FA24" s="4">
        <v>8</v>
      </c>
      <c r="FB24" s="4">
        <v>8</v>
      </c>
      <c r="FC24" s="4">
        <v>8</v>
      </c>
      <c r="FD24" s="4">
        <v>8</v>
      </c>
      <c r="FE24" s="4">
        <v>8</v>
      </c>
      <c r="FF24" s="4">
        <v>8</v>
      </c>
      <c r="FG24" s="4">
        <v>8</v>
      </c>
      <c r="FH24" s="4">
        <v>8</v>
      </c>
      <c r="FI24" s="4">
        <v>8</v>
      </c>
      <c r="FJ24" s="4">
        <v>8</v>
      </c>
      <c r="FK24" s="4">
        <v>8</v>
      </c>
      <c r="FL24" s="4">
        <v>8</v>
      </c>
      <c r="FM24" s="4">
        <v>8</v>
      </c>
      <c r="FN24" s="4">
        <v>8</v>
      </c>
      <c r="FO24" s="4">
        <v>8</v>
      </c>
      <c r="FP24" s="4">
        <v>8</v>
      </c>
      <c r="FQ24" s="4">
        <v>8</v>
      </c>
      <c r="FR24" s="4">
        <v>8</v>
      </c>
      <c r="FS24" s="4">
        <v>8</v>
      </c>
      <c r="FT24" s="4">
        <v>8</v>
      </c>
      <c r="FU24" s="4">
        <v>8</v>
      </c>
      <c r="FV24" s="4">
        <v>8</v>
      </c>
      <c r="FW24" s="4">
        <v>8</v>
      </c>
      <c r="FX24" s="4">
        <v>8</v>
      </c>
      <c r="FY24" s="4">
        <v>8</v>
      </c>
      <c r="FZ24" s="4">
        <v>8</v>
      </c>
      <c r="GA24" s="4">
        <v>8</v>
      </c>
      <c r="GB24" s="4">
        <v>8</v>
      </c>
      <c r="GC24" s="4">
        <v>8</v>
      </c>
      <c r="GD24" s="4">
        <v>8</v>
      </c>
      <c r="GE24" s="4">
        <v>8</v>
      </c>
      <c r="GF24" s="4">
        <v>8</v>
      </c>
      <c r="GG24" s="4">
        <v>8</v>
      </c>
      <c r="GH24" s="4">
        <v>8</v>
      </c>
      <c r="GI24" s="4">
        <v>8</v>
      </c>
      <c r="GJ24" s="4">
        <v>8</v>
      </c>
      <c r="GK24" s="4">
        <v>8</v>
      </c>
      <c r="GL24" s="4">
        <v>8</v>
      </c>
      <c r="GM24" s="4">
        <v>8</v>
      </c>
      <c r="GN24" s="4">
        <v>8</v>
      </c>
      <c r="GO24" s="4">
        <v>8</v>
      </c>
      <c r="GP24" s="4">
        <v>8</v>
      </c>
      <c r="GQ24" s="4">
        <v>8</v>
      </c>
      <c r="GR24" s="4">
        <v>8</v>
      </c>
      <c r="GS24" s="4">
        <v>8</v>
      </c>
      <c r="GT24" s="4">
        <v>8</v>
      </c>
      <c r="GU24" s="4">
        <v>8</v>
      </c>
      <c r="GV24" s="4">
        <v>8</v>
      </c>
      <c r="GW24" s="4">
        <v>8</v>
      </c>
      <c r="GX24" s="4">
        <v>8</v>
      </c>
      <c r="GY24" s="4">
        <v>8</v>
      </c>
      <c r="GZ24" s="4">
        <v>8</v>
      </c>
      <c r="HA24" s="4">
        <v>8</v>
      </c>
      <c r="HB24" s="4">
        <v>8</v>
      </c>
      <c r="HC24" s="4">
        <v>8</v>
      </c>
      <c r="HD24" s="4">
        <v>8</v>
      </c>
      <c r="HE24" s="4">
        <v>8</v>
      </c>
      <c r="HF24" s="4">
        <v>8</v>
      </c>
      <c r="HG24" s="4">
        <v>8</v>
      </c>
      <c r="HH24" s="4">
        <v>8</v>
      </c>
      <c r="HI24" s="4">
        <v>8</v>
      </c>
      <c r="HJ24" s="4">
        <v>8</v>
      </c>
      <c r="HK24" s="4">
        <v>8</v>
      </c>
      <c r="HL24" s="4">
        <v>8</v>
      </c>
      <c r="HM24" s="4">
        <v>8</v>
      </c>
      <c r="HN24" s="4">
        <v>8</v>
      </c>
      <c r="HO24" s="4">
        <v>8</v>
      </c>
      <c r="HP24" s="4">
        <v>8</v>
      </c>
      <c r="HQ24" s="4">
        <v>8</v>
      </c>
      <c r="HR24" s="4">
        <v>8</v>
      </c>
      <c r="HS24" s="4">
        <v>8</v>
      </c>
      <c r="HT24" s="4">
        <v>8</v>
      </c>
      <c r="HU24" s="4">
        <v>8</v>
      </c>
      <c r="HV24" s="4">
        <v>8</v>
      </c>
      <c r="HW24" s="4">
        <v>8</v>
      </c>
      <c r="HX24" s="4">
        <v>8</v>
      </c>
      <c r="HY24" s="4">
        <v>8</v>
      </c>
      <c r="HZ24" s="4">
        <v>8</v>
      </c>
      <c r="IA24" s="4">
        <v>8</v>
      </c>
      <c r="IB24" s="4">
        <v>8</v>
      </c>
      <c r="IC24" s="4">
        <v>8</v>
      </c>
      <c r="ID24" s="4">
        <v>8</v>
      </c>
      <c r="IE24" s="4">
        <v>8</v>
      </c>
      <c r="IF24" s="4">
        <v>8</v>
      </c>
      <c r="IG24" s="4">
        <v>8</v>
      </c>
      <c r="IH24" s="4">
        <v>8</v>
      </c>
      <c r="II24" s="4">
        <v>8</v>
      </c>
      <c r="IJ24" s="4">
        <v>8</v>
      </c>
      <c r="IK24" s="4">
        <v>8</v>
      </c>
      <c r="IL24" s="4">
        <v>8</v>
      </c>
      <c r="IM24" s="4">
        <v>8</v>
      </c>
      <c r="IN24" s="4">
        <v>8</v>
      </c>
      <c r="IO24" s="4">
        <v>8</v>
      </c>
      <c r="IP24" s="4">
        <v>8</v>
      </c>
      <c r="IQ24" s="4">
        <v>8</v>
      </c>
      <c r="IR24" s="4">
        <v>8</v>
      </c>
      <c r="IS24" s="4">
        <v>8</v>
      </c>
      <c r="IT24" s="4">
        <v>8</v>
      </c>
      <c r="IU24" s="4">
        <v>23</v>
      </c>
    </row>
  </sheetData>
  <sheetProtection formatColumns="0" formatRows="0" insertRows="0" deleteColumns="0" deleteRows="0" sort="0" autoFilter="0"/>
  <mergeCells count="4">
    <mergeCell ref="E5:J5"/>
    <mergeCell ref="E7:I7"/>
    <mergeCell ref="J7:J8"/>
    <mergeCell ref="J9:J10"/>
  </mergeCells>
  <dataValidations count="2">
    <dataValidation type="textLength" allowBlank="1" showInputMessage="1" showErrorMessage="1" sqref="I3" xr:uid="{00000000-0002-0000-3400-000000000000}">
      <formula1>13</formula1>
      <formula2>15</formula2>
    </dataValidation>
    <dataValidation type="textLength" allowBlank="1" showInputMessage="1" showErrorMessage="1" prompt="ОГРН состоит из 13 цифр, ОГРНИП - из 15" sqref="I9 I2" xr:uid="{00000000-0002-0000-3400-000001000000}">
      <formula1>13</formula1>
      <formula2>15</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4E8E3F-EF76-7EDB-2B9B-BAA8B11F158B}">
  <dimension ref="A1:IW15"/>
  <sheetViews>
    <sheetView showGridLines="0" zoomScale="90" workbookViewId="0">
      <pane xSplit="6" ySplit="9" topLeftCell="G10" activePane="bottomRight" state="frozen"/>
      <selection pane="topRight" activeCell="G1" sqref="G1"/>
      <selection pane="bottomLeft" activeCell="A10" sqref="A10"/>
      <selection pane="bottomRight"/>
    </sheetView>
  </sheetViews>
  <sheetFormatPr defaultColWidth="9.140625" defaultRowHeight="14.25" customHeight="1"/>
  <cols>
    <col min="1" max="1" width="9.140625" style="4" hidden="1"/>
    <col min="2" max="2" width="9.140625" style="43" hidden="1"/>
    <col min="3" max="3" width="3.7109375" style="4" hidden="1" customWidth="1"/>
    <col min="4" max="4" width="3" style="16" customWidth="1"/>
    <col min="5" max="5" width="6" style="4" customWidth="1"/>
    <col min="6" max="6" width="27" style="4" customWidth="1"/>
    <col min="7" max="7" width="16" style="4" customWidth="1"/>
    <col min="8" max="8" width="12" style="4" customWidth="1"/>
    <col min="9" max="9" width="32" style="4" customWidth="1"/>
    <col min="10" max="11" width="41" style="4" customWidth="1"/>
    <col min="12" max="12" width="89" style="4" customWidth="1"/>
    <col min="13" max="13" width="3" style="46" customWidth="1"/>
    <col min="14" max="16" width="8" style="46" customWidth="1"/>
    <col min="17" max="17" width="25" style="46" customWidth="1"/>
    <col min="18" max="18" width="14" style="46" customWidth="1"/>
    <col min="19" max="22" width="8" style="78" customWidth="1"/>
    <col min="23" max="256" width="8" style="4" customWidth="1"/>
    <col min="257" max="257" width="9.140625" style="4" hidden="1"/>
  </cols>
  <sheetData>
    <row r="1" spans="1:257" ht="22.5" hidden="1" customHeight="1">
      <c r="IW1" s="4" t="s">
        <v>14</v>
      </c>
    </row>
    <row r="2" spans="1:257" ht="22.5" hidden="1" customHeight="1">
      <c r="B2" s="43">
        <v>1</v>
      </c>
      <c r="C2" s="43"/>
      <c r="D2" s="606" t="s">
        <v>123</v>
      </c>
      <c r="E2" s="217"/>
      <c r="F2" s="594" t="str">
        <f>IF(ROIV_INFO_NAME="","",ROIV_INFO_NAME)</f>
        <v>ООО "Восточная Тепловая компания"</v>
      </c>
      <c r="G2" s="601" t="s">
        <v>22</v>
      </c>
      <c r="H2" s="600"/>
      <c r="I2" s="487"/>
      <c r="J2" s="131"/>
      <c r="K2" s="131"/>
      <c r="L2" s="43"/>
      <c r="M2" s="485" t="e">
        <f ca="1">MERGEVALUE(F2)</f>
        <v>#NAME?</v>
      </c>
      <c r="P2" s="46" t="str">
        <f t="array" ref="P2">IF(ISERROR(MATCH(MID(Q2,1,250),MID(note_ter,1,250),0)),"n","y")</f>
        <v>n</v>
      </c>
      <c r="R2" s="46" t="str">
        <f>G2&amp;"("&amp;L2&amp;")"</f>
        <v>()</v>
      </c>
      <c r="S2" s="43"/>
      <c r="T2" s="43"/>
      <c r="U2" s="135"/>
      <c r="V2" s="43"/>
      <c r="W2" s="43"/>
      <c r="X2" s="43"/>
      <c r="Y2" s="43"/>
      <c r="Z2" s="43"/>
      <c r="AA2" s="46"/>
      <c r="AB2" s="46"/>
      <c r="AC2" s="46"/>
      <c r="AD2" s="46"/>
      <c r="AE2" s="46"/>
      <c r="AF2" s="46"/>
      <c r="AG2" s="46"/>
      <c r="AH2" s="46"/>
      <c r="AI2" s="46"/>
      <c r="AJ2" s="46"/>
      <c r="AK2" s="46"/>
      <c r="AL2" s="46"/>
      <c r="AM2" s="46"/>
      <c r="AN2" s="46"/>
      <c r="AO2" s="46"/>
      <c r="AP2" s="46"/>
      <c r="AQ2" s="46"/>
      <c r="AR2" s="46"/>
      <c r="AS2" s="46"/>
      <c r="AT2" s="46"/>
      <c r="AU2" s="46"/>
      <c r="AV2" s="46"/>
      <c r="AW2" s="46"/>
      <c r="AX2" s="46"/>
      <c r="AY2" s="46"/>
      <c r="AZ2" s="46"/>
      <c r="BA2" s="46"/>
      <c r="BB2" s="46"/>
      <c r="BC2" s="46"/>
      <c r="BD2" s="46"/>
      <c r="BE2" s="46"/>
      <c r="BF2" s="46"/>
      <c r="BG2" s="46"/>
      <c r="BH2" s="46"/>
      <c r="BI2" s="46"/>
      <c r="BJ2" s="46"/>
      <c r="BK2" s="46"/>
      <c r="BL2" s="46"/>
      <c r="BM2" s="46"/>
      <c r="BN2" s="46"/>
      <c r="BO2" s="46"/>
      <c r="BP2" s="46"/>
      <c r="BQ2" s="46"/>
      <c r="BR2" s="46"/>
      <c r="BS2" s="46"/>
      <c r="BT2" s="46"/>
      <c r="BU2" s="46"/>
      <c r="BV2" s="43"/>
      <c r="BW2" s="43"/>
      <c r="BX2" s="43"/>
      <c r="BY2" s="43"/>
      <c r="BZ2" s="43"/>
      <c r="CA2" s="43"/>
      <c r="CB2" s="43"/>
      <c r="CC2" s="43"/>
      <c r="CD2" s="43"/>
      <c r="CE2" s="43"/>
      <c r="CF2"/>
      <c r="CG2"/>
      <c r="CH2"/>
      <c r="CI2"/>
      <c r="CJ2"/>
      <c r="CK2"/>
      <c r="CL2"/>
      <c r="CM2"/>
      <c r="CN2"/>
      <c r="CO2"/>
      <c r="CP2"/>
      <c r="CQ2"/>
      <c r="CR2"/>
      <c r="CS2"/>
      <c r="CT2"/>
      <c r="CU2"/>
      <c r="CV2"/>
      <c r="CW2"/>
      <c r="CX2"/>
      <c r="CY2"/>
      <c r="CZ2"/>
      <c r="DA2"/>
      <c r="DB2"/>
      <c r="DC2"/>
      <c r="DD2"/>
      <c r="DE2"/>
      <c r="DF2"/>
      <c r="DG2"/>
      <c r="DH2"/>
      <c r="DI2"/>
      <c r="DJ2"/>
      <c r="DK2"/>
      <c r="DL2"/>
      <c r="DM2"/>
      <c r="DN2"/>
      <c r="DO2"/>
      <c r="DP2"/>
      <c r="DQ2"/>
      <c r="DR2"/>
      <c r="DS2"/>
      <c r="DT2"/>
      <c r="DU2"/>
      <c r="DV2"/>
      <c r="DW2"/>
      <c r="DX2"/>
      <c r="DY2"/>
      <c r="DZ2"/>
      <c r="EA2"/>
      <c r="EB2"/>
      <c r="EC2"/>
      <c r="ED2"/>
      <c r="EE2"/>
      <c r="EF2"/>
      <c r="EG2"/>
      <c r="EH2"/>
      <c r="EI2"/>
      <c r="EJ2"/>
      <c r="EK2"/>
      <c r="EL2"/>
      <c r="EM2"/>
      <c r="EN2"/>
      <c r="EO2"/>
      <c r="EP2"/>
      <c r="EQ2"/>
      <c r="ER2"/>
      <c r="ES2"/>
      <c r="ET2"/>
      <c r="EU2"/>
      <c r="EV2"/>
      <c r="EW2"/>
      <c r="EX2"/>
      <c r="EY2"/>
      <c r="EZ2"/>
      <c r="FA2"/>
      <c r="FB2"/>
      <c r="FC2"/>
      <c r="FD2"/>
      <c r="FE2"/>
      <c r="FF2"/>
      <c r="FG2"/>
      <c r="FH2"/>
      <c r="FI2"/>
      <c r="FJ2"/>
      <c r="FK2"/>
      <c r="FL2"/>
      <c r="FM2"/>
      <c r="FN2"/>
      <c r="FO2"/>
      <c r="FP2"/>
      <c r="FQ2"/>
      <c r="FR2"/>
      <c r="FS2"/>
      <c r="FT2"/>
      <c r="FU2"/>
      <c r="FV2"/>
      <c r="FW2"/>
      <c r="FX2"/>
      <c r="FY2"/>
      <c r="FZ2"/>
      <c r="GA2"/>
      <c r="GB2"/>
      <c r="GC2"/>
      <c r="GD2"/>
      <c r="GE2"/>
      <c r="GF2"/>
      <c r="GG2"/>
      <c r="GH2"/>
      <c r="GI2"/>
      <c r="GJ2"/>
      <c r="GK2"/>
      <c r="GL2"/>
      <c r="GM2"/>
      <c r="GN2"/>
      <c r="GO2"/>
      <c r="GP2"/>
      <c r="GQ2"/>
      <c r="GR2"/>
      <c r="GS2"/>
      <c r="GT2"/>
      <c r="GU2"/>
      <c r="GV2"/>
      <c r="GW2"/>
      <c r="GX2"/>
      <c r="GY2"/>
      <c r="GZ2"/>
      <c r="HA2"/>
      <c r="HB2"/>
      <c r="HC2"/>
      <c r="HD2"/>
      <c r="HE2"/>
      <c r="HF2"/>
      <c r="HG2"/>
      <c r="HH2"/>
      <c r="HI2"/>
      <c r="HJ2"/>
      <c r="HK2"/>
      <c r="HL2"/>
      <c r="HM2"/>
      <c r="HN2"/>
      <c r="HO2"/>
      <c r="HP2"/>
      <c r="HQ2"/>
      <c r="HR2"/>
      <c r="HS2"/>
      <c r="HT2"/>
      <c r="HU2"/>
      <c r="HV2"/>
      <c r="HW2"/>
      <c r="HX2"/>
      <c r="HY2"/>
      <c r="HZ2"/>
      <c r="IA2"/>
      <c r="IB2"/>
      <c r="IC2"/>
      <c r="ID2"/>
      <c r="IE2"/>
      <c r="IF2"/>
      <c r="IG2"/>
      <c r="IH2"/>
      <c r="II2"/>
      <c r="IJ2"/>
      <c r="IK2"/>
      <c r="IL2"/>
      <c r="IM2"/>
      <c r="IN2"/>
      <c r="IO2"/>
      <c r="IP2"/>
      <c r="IQ2"/>
      <c r="IR2"/>
      <c r="IS2"/>
      <c r="IT2"/>
      <c r="IU2"/>
      <c r="IV2"/>
      <c r="IW2">
        <v>0</v>
      </c>
    </row>
    <row r="3" spans="1:257" s="46" customFormat="1" ht="5.25" hidden="1" customHeight="1">
      <c r="A3" s="117"/>
      <c r="F3" s="46" t="s">
        <v>83</v>
      </c>
      <c r="G3" s="546" t="s">
        <v>84</v>
      </c>
      <c r="L3" s="46" t="s">
        <v>85</v>
      </c>
      <c r="M3" s="46" t="s">
        <v>83</v>
      </c>
      <c r="IW3" s="46">
        <v>0</v>
      </c>
    </row>
    <row r="4" spans="1:257" s="32" customFormat="1" ht="14.65" customHeight="1">
      <c r="A4" s="4"/>
      <c r="B4" s="43"/>
      <c r="C4" s="4"/>
      <c r="D4" s="16"/>
      <c r="E4" s="4"/>
      <c r="F4" s="4"/>
      <c r="G4" s="4"/>
      <c r="H4" s="4"/>
      <c r="I4" s="4"/>
      <c r="J4" s="4"/>
      <c r="K4" s="4"/>
      <c r="L4" s="4"/>
      <c r="M4" s="46"/>
      <c r="N4" s="46"/>
      <c r="O4" s="46"/>
      <c r="P4" s="46"/>
      <c r="Q4" s="46"/>
      <c r="R4" s="46"/>
      <c r="S4" s="78"/>
      <c r="T4" s="78"/>
      <c r="U4" s="78"/>
      <c r="V4" s="78"/>
      <c r="IW4" s="32">
        <v>14</v>
      </c>
    </row>
    <row r="5" spans="1:257" s="32" customFormat="1" ht="27.4" customHeight="1">
      <c r="A5" s="4"/>
      <c r="B5" s="43"/>
      <c r="C5" s="4"/>
      <c r="D5" s="16"/>
      <c r="E5" s="666"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666"/>
      <c r="G5" s="666"/>
      <c r="H5" s="666"/>
      <c r="I5" s="666"/>
      <c r="J5" s="666"/>
      <c r="K5" s="666"/>
      <c r="L5" s="4"/>
      <c r="M5" s="46"/>
      <c r="N5" s="46"/>
      <c r="O5" s="46"/>
      <c r="P5" s="46"/>
      <c r="Q5" s="46"/>
      <c r="R5" s="46"/>
      <c r="S5" s="78"/>
      <c r="T5" s="78"/>
      <c r="U5" s="78"/>
      <c r="V5" s="78"/>
      <c r="IW5" s="32">
        <v>26</v>
      </c>
    </row>
    <row r="6" spans="1:257" s="32" customFormat="1" ht="14.65" customHeight="1">
      <c r="A6" s="4"/>
      <c r="B6" s="43"/>
      <c r="C6" s="4"/>
      <c r="D6" s="16"/>
      <c r="E6" s="4"/>
      <c r="F6" s="51"/>
      <c r="G6" s="51"/>
      <c r="H6" s="51"/>
      <c r="I6" s="51"/>
      <c r="J6" s="51"/>
      <c r="K6" s="51"/>
      <c r="L6" s="4"/>
      <c r="M6" s="46"/>
      <c r="N6" s="46"/>
      <c r="O6" s="46"/>
      <c r="P6" s="46"/>
      <c r="Q6" s="46"/>
      <c r="R6" s="46"/>
      <c r="S6" s="78"/>
      <c r="T6" s="78"/>
      <c r="U6" s="78"/>
      <c r="V6" s="78"/>
      <c r="IW6" s="32">
        <v>14</v>
      </c>
    </row>
    <row r="7" spans="1:257" s="32" customFormat="1" ht="14.65" customHeight="1">
      <c r="A7" s="4"/>
      <c r="B7" s="43"/>
      <c r="C7" s="4"/>
      <c r="D7" s="16"/>
      <c r="E7" s="662" t="s">
        <v>303</v>
      </c>
      <c r="F7" s="666"/>
      <c r="G7" s="666"/>
      <c r="H7" s="666"/>
      <c r="I7" s="666"/>
      <c r="J7" s="666"/>
      <c r="K7" s="666"/>
      <c r="L7" s="845" t="s">
        <v>304</v>
      </c>
      <c r="M7" s="46"/>
      <c r="N7" s="46"/>
      <c r="O7" s="46"/>
      <c r="P7" s="46"/>
      <c r="Q7" s="46"/>
      <c r="R7" s="46"/>
      <c r="S7" s="78"/>
      <c r="T7" s="78"/>
      <c r="U7" s="78"/>
      <c r="V7" s="78"/>
      <c r="IW7" s="32">
        <v>14</v>
      </c>
    </row>
    <row r="8" spans="1:257" s="32" customFormat="1" ht="67.150000000000006" customHeight="1">
      <c r="A8" s="4"/>
      <c r="B8" s="43"/>
      <c r="C8" s="4"/>
      <c r="D8" s="16"/>
      <c r="E8" s="848" t="s">
        <v>88</v>
      </c>
      <c r="F8" s="848"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тарифного регулирования</v>
      </c>
      <c r="G8" s="850"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тарифного регулирования, на котором планируется рассмотрение дел об установлении цен (тарифов) в сфере теплоснабжения</v>
      </c>
      <c r="H8" s="851"/>
      <c r="I8" s="852"/>
      <c r="J8" s="848"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тарифного регулирования решения об установлении 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v>
      </c>
      <c r="K8" s="848"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847"/>
      <c r="M8" s="46"/>
      <c r="N8" s="46"/>
      <c r="O8" s="46"/>
      <c r="P8" s="46"/>
      <c r="Q8" s="46"/>
      <c r="R8" s="46"/>
      <c r="S8" s="78"/>
      <c r="T8" s="78"/>
      <c r="U8" s="78"/>
      <c r="V8" s="78"/>
      <c r="IW8" s="32">
        <v>64</v>
      </c>
    </row>
    <row r="9" spans="1:257" s="32" customFormat="1" ht="29.25" customHeight="1">
      <c r="A9" s="4"/>
      <c r="B9" s="43"/>
      <c r="C9" s="4"/>
      <c r="D9" s="16"/>
      <c r="E9" s="849"/>
      <c r="F9" s="849"/>
      <c r="G9" s="486" t="s">
        <v>1876</v>
      </c>
      <c r="H9" s="486" t="s">
        <v>1877</v>
      </c>
      <c r="I9" s="486" t="s">
        <v>1878</v>
      </c>
      <c r="J9" s="849"/>
      <c r="K9" s="849"/>
      <c r="L9" s="846"/>
      <c r="M9" s="46"/>
      <c r="N9" s="46"/>
      <c r="O9" s="46"/>
      <c r="P9" s="46"/>
      <c r="Q9" s="46"/>
      <c r="R9" s="46"/>
      <c r="S9" s="78"/>
      <c r="T9" s="78"/>
      <c r="U9" s="78"/>
      <c r="V9" s="78"/>
      <c r="IW9" s="32">
        <v>28</v>
      </c>
    </row>
    <row r="10" spans="1:257" ht="23.25" customHeight="1">
      <c r="A10" s="665"/>
      <c r="B10" s="43">
        <v>1</v>
      </c>
      <c r="C10" s="43"/>
      <c r="D10" s="266"/>
      <c r="E10" s="101">
        <v>1</v>
      </c>
      <c r="F10" s="488" t="str">
        <f>IF(ROIV_INFO_NAME="","",ROIV_INFO_NAME)</f>
        <v>ООО "Восточная Тепловая компания"</v>
      </c>
      <c r="G10" s="544" t="s">
        <v>22</v>
      </c>
      <c r="H10" s="600"/>
      <c r="I10" s="484"/>
      <c r="J10" s="131"/>
      <c r="K10" s="131"/>
      <c r="L10" s="672"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485" t="e">
        <f ca="1">MERGEVALUE(F10)</f>
        <v>#NAME?</v>
      </c>
      <c r="P10" s="46" t="str">
        <f t="array" ref="P10">IF(ISERROR(MATCH(MID(Q10,1,250),MID(note_ter,1,250),0)),"n","y")</f>
        <v>n</v>
      </c>
      <c r="R10" s="46"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43"/>
      <c r="T10" s="43"/>
      <c r="U10" s="135"/>
      <c r="V10" s="43"/>
      <c r="W10" s="43"/>
      <c r="X10" s="43"/>
      <c r="Y10" s="43"/>
      <c r="Z10" s="43"/>
      <c r="AA10" s="46"/>
      <c r="AB10" s="46"/>
      <c r="AC10" s="46"/>
      <c r="AD10" s="46"/>
      <c r="AE10" s="46"/>
      <c r="AF10" s="46"/>
      <c r="AG10" s="46"/>
      <c r="AH10" s="46"/>
      <c r="AI10" s="46"/>
      <c r="AJ10" s="46"/>
      <c r="AK10" s="46"/>
      <c r="AL10" s="46"/>
      <c r="AM10" s="46"/>
      <c r="AN10" s="46"/>
      <c r="AO10" s="46"/>
      <c r="AP10" s="46"/>
      <c r="AQ10" s="46"/>
      <c r="AR10" s="46"/>
      <c r="AS10" s="46"/>
      <c r="AT10" s="46"/>
      <c r="AU10" s="46"/>
      <c r="AV10" s="46"/>
      <c r="AW10" s="46"/>
      <c r="AX10" s="46"/>
      <c r="AY10" s="46"/>
      <c r="AZ10" s="46"/>
      <c r="BA10" s="46"/>
      <c r="BB10" s="46"/>
      <c r="BC10" s="46"/>
      <c r="BD10" s="46"/>
      <c r="BE10" s="46"/>
      <c r="BF10" s="46"/>
      <c r="BG10" s="46"/>
      <c r="BH10" s="46"/>
      <c r="BI10" s="46"/>
      <c r="BJ10" s="46"/>
      <c r="BK10" s="46"/>
      <c r="BL10" s="46"/>
      <c r="BM10" s="46"/>
      <c r="BN10" s="46"/>
      <c r="BO10" s="46"/>
      <c r="BP10" s="46"/>
      <c r="BQ10" s="46"/>
      <c r="BR10" s="46"/>
      <c r="BS10" s="46"/>
      <c r="BT10" s="46"/>
      <c r="BU10" s="46"/>
      <c r="BV10" s="43"/>
      <c r="BW10" s="43"/>
      <c r="BX10" s="43"/>
      <c r="BY10" s="43"/>
      <c r="BZ10" s="43"/>
      <c r="CA10" s="43"/>
      <c r="CB10" s="43"/>
      <c r="CC10" s="43"/>
      <c r="CD10" s="43"/>
      <c r="CE10" s="43"/>
      <c r="CF10"/>
      <c r="CG10"/>
      <c r="CH10"/>
      <c r="CI10"/>
      <c r="CJ10"/>
      <c r="CK10"/>
      <c r="CL10"/>
      <c r="CM10"/>
      <c r="CN10"/>
      <c r="CO10"/>
      <c r="CP10"/>
      <c r="CQ10"/>
      <c r="CR10"/>
      <c r="CS10"/>
      <c r="CT10"/>
      <c r="CU10"/>
      <c r="CV10"/>
      <c r="CW10"/>
      <c r="CX10"/>
      <c r="CY10"/>
      <c r="CZ10"/>
      <c r="DA10"/>
      <c r="DB10"/>
      <c r="DC10"/>
      <c r="DD10"/>
      <c r="DE10"/>
      <c r="DF10"/>
      <c r="DG10"/>
      <c r="DH10"/>
      <c r="DI10"/>
      <c r="DJ10"/>
      <c r="DK10"/>
      <c r="DL10"/>
      <c r="DM10"/>
      <c r="DN10"/>
      <c r="DO10"/>
      <c r="DP10"/>
      <c r="DQ10"/>
      <c r="DR10"/>
      <c r="DS10"/>
      <c r="DT10"/>
      <c r="DU10"/>
      <c r="DV10"/>
      <c r="DW10"/>
      <c r="DX10"/>
      <c r="DY10"/>
      <c r="DZ10"/>
      <c r="EA10"/>
      <c r="EB10"/>
      <c r="EC10"/>
      <c r="ED10"/>
      <c r="EE10"/>
      <c r="EF10"/>
      <c r="EG10"/>
      <c r="EH10"/>
      <c r="EI10"/>
      <c r="EJ10"/>
      <c r="EK10"/>
      <c r="EL10"/>
      <c r="EM10"/>
      <c r="EN10"/>
      <c r="EO10"/>
      <c r="EP10"/>
      <c r="EQ10"/>
      <c r="ER10"/>
      <c r="ES10"/>
      <c r="ET10"/>
      <c r="EU10"/>
      <c r="EV10"/>
      <c r="EW10"/>
      <c r="EX10"/>
      <c r="EY10"/>
      <c r="EZ10"/>
      <c r="FA10"/>
      <c r="FB10"/>
      <c r="FC10"/>
      <c r="FD10"/>
      <c r="FE10"/>
      <c r="FF10"/>
      <c r="FG10"/>
      <c r="FH10"/>
      <c r="FI10"/>
      <c r="FJ10"/>
      <c r="FK10"/>
      <c r="FL10"/>
      <c r="FM10"/>
      <c r="FN10"/>
      <c r="FO10"/>
      <c r="FP10"/>
      <c r="FQ10"/>
      <c r="FR10"/>
      <c r="FS10"/>
      <c r="FT10"/>
      <c r="FU10"/>
      <c r="FV10"/>
      <c r="FW10"/>
      <c r="FX10"/>
      <c r="FY10"/>
      <c r="FZ10"/>
      <c r="GA10"/>
      <c r="GB10"/>
      <c r="GC10"/>
      <c r="GD10"/>
      <c r="GE10"/>
      <c r="GF10"/>
      <c r="GG10"/>
      <c r="GH10"/>
      <c r="GI10"/>
      <c r="GJ10"/>
      <c r="GK10"/>
      <c r="GL10"/>
      <c r="GM10"/>
      <c r="GN10"/>
      <c r="GO10"/>
      <c r="GP10"/>
      <c r="GQ10"/>
      <c r="GR10"/>
      <c r="GS10"/>
      <c r="GT10"/>
      <c r="GU10"/>
      <c r="GV10"/>
      <c r="GW10"/>
      <c r="GX10"/>
      <c r="GY10"/>
      <c r="GZ10"/>
      <c r="HA10"/>
      <c r="HB10"/>
      <c r="HC10"/>
      <c r="HD10"/>
      <c r="HE10"/>
      <c r="HF10"/>
      <c r="HG10"/>
      <c r="HH10"/>
      <c r="HI10"/>
      <c r="HJ10"/>
      <c r="HK10"/>
      <c r="HL10"/>
      <c r="HM10"/>
      <c r="HN10"/>
      <c r="HO10"/>
      <c r="HP10"/>
      <c r="HQ10"/>
      <c r="HR10"/>
      <c r="HS10"/>
      <c r="HT10"/>
      <c r="HU10"/>
      <c r="HV10"/>
      <c r="HW10"/>
      <c r="HX10"/>
      <c r="HY10"/>
      <c r="HZ10"/>
      <c r="IA10"/>
      <c r="IB10"/>
      <c r="IC10"/>
      <c r="ID10"/>
      <c r="IE10"/>
      <c r="IF10"/>
      <c r="IG10"/>
      <c r="IH10"/>
      <c r="II10"/>
      <c r="IJ10"/>
      <c r="IK10"/>
      <c r="IL10"/>
      <c r="IM10"/>
      <c r="IN10"/>
      <c r="IO10"/>
      <c r="IP10"/>
      <c r="IQ10"/>
      <c r="IR10"/>
      <c r="IS10"/>
      <c r="IT10"/>
      <c r="IU10"/>
      <c r="IV10"/>
      <c r="IW10">
        <v>22</v>
      </c>
    </row>
    <row r="11" spans="1:257" ht="15.75" customHeight="1">
      <c r="A11" s="665"/>
      <c r="C11" s="22"/>
      <c r="D11" s="56"/>
      <c r="E11" s="91"/>
      <c r="F11" s="37" t="s">
        <v>1879</v>
      </c>
      <c r="G11" s="54"/>
      <c r="H11" s="54"/>
      <c r="I11" s="54"/>
      <c r="J11" s="54"/>
      <c r="K11" s="102"/>
      <c r="L11" s="675"/>
      <c r="M11" s="485"/>
      <c r="S11" s="43"/>
      <c r="T11" s="43"/>
      <c r="U11" s="135"/>
      <c r="V11" s="43"/>
      <c r="W11" s="43"/>
      <c r="X11" s="43"/>
      <c r="Y11" s="43"/>
      <c r="Z11" s="43"/>
      <c r="AA11" s="46"/>
      <c r="AB11" s="46"/>
      <c r="AC11" s="46"/>
      <c r="AD11" s="46"/>
      <c r="AE11" s="46"/>
      <c r="AF11" s="46"/>
      <c r="AG11" s="46"/>
      <c r="AH11" s="46"/>
      <c r="AI11" s="46"/>
      <c r="AJ11" s="46"/>
      <c r="AK11" s="46"/>
      <c r="AL11" s="46"/>
      <c r="AM11" s="46"/>
      <c r="AN11" s="46"/>
      <c r="AO11" s="46"/>
      <c r="AP11" s="46"/>
      <c r="AQ11" s="46"/>
      <c r="AR11" s="46"/>
      <c r="AS11" s="46"/>
      <c r="AT11" s="46"/>
      <c r="AU11" s="46"/>
      <c r="AV11" s="46"/>
      <c r="AW11" s="46"/>
      <c r="AX11" s="46"/>
      <c r="AY11" s="46"/>
      <c r="AZ11" s="46"/>
      <c r="BA11" s="46"/>
      <c r="BB11" s="46"/>
      <c r="BC11" s="46"/>
      <c r="BD11" s="46"/>
      <c r="BE11" s="46"/>
      <c r="BF11" s="46"/>
      <c r="BG11" s="46"/>
      <c r="BH11" s="46"/>
      <c r="BI11" s="46"/>
      <c r="BJ11" s="46"/>
      <c r="BK11" s="46"/>
      <c r="BL11" s="46"/>
      <c r="BM11" s="46"/>
      <c r="BN11" s="46"/>
      <c r="BO11" s="46"/>
      <c r="BP11" s="46"/>
      <c r="BQ11" s="46"/>
      <c r="BR11" s="46"/>
      <c r="BS11" s="46"/>
      <c r="BT11" s="46"/>
      <c r="BU11" s="46"/>
      <c r="BV11" s="43"/>
      <c r="BW11" s="43"/>
      <c r="BX11" s="43"/>
      <c r="BY11" s="43"/>
      <c r="BZ11" s="43"/>
      <c r="CA11" s="43"/>
      <c r="CB11" s="43"/>
      <c r="CC11" s="43"/>
      <c r="CD11" s="43"/>
      <c r="CE11" s="43"/>
      <c r="CF11"/>
      <c r="CG11"/>
      <c r="CH11"/>
      <c r="CI11"/>
      <c r="CJ11"/>
      <c r="CK11"/>
      <c r="CL11"/>
      <c r="CM11"/>
      <c r="CN11"/>
      <c r="CO11"/>
      <c r="CP11"/>
      <c r="CQ11"/>
      <c r="CR11"/>
      <c r="CS11"/>
      <c r="CT11"/>
      <c r="CU11"/>
      <c r="CV11"/>
      <c r="CW11"/>
      <c r="CX11"/>
      <c r="CY11"/>
      <c r="CZ11"/>
      <c r="DA11"/>
      <c r="DB11"/>
      <c r="DC11"/>
      <c r="DD11"/>
      <c r="DE11"/>
      <c r="DF11"/>
      <c r="DG11"/>
      <c r="DH11"/>
      <c r="DI11"/>
      <c r="DJ11"/>
      <c r="DK11"/>
      <c r="DL11"/>
      <c r="DM11"/>
      <c r="DN11"/>
      <c r="DO11"/>
      <c r="DP11"/>
      <c r="DQ11"/>
      <c r="DR11"/>
      <c r="DS11"/>
      <c r="DT11"/>
      <c r="DU11"/>
      <c r="DV11"/>
      <c r="DW11"/>
      <c r="DX11"/>
      <c r="DY11"/>
      <c r="DZ11"/>
      <c r="EA11"/>
      <c r="EB11"/>
      <c r="EC11"/>
      <c r="ED11"/>
      <c r="EE11"/>
      <c r="EF11"/>
      <c r="EG11"/>
      <c r="EH11"/>
      <c r="EI11"/>
      <c r="EJ11"/>
      <c r="EK11"/>
      <c r="EL11"/>
      <c r="EM11"/>
      <c r="EN11"/>
      <c r="EO11"/>
      <c r="EP11"/>
      <c r="EQ11"/>
      <c r="ER11"/>
      <c r="ES11"/>
      <c r="ET11"/>
      <c r="EU11"/>
      <c r="EV11"/>
      <c r="EW11"/>
      <c r="EX11"/>
      <c r="EY11"/>
      <c r="EZ11"/>
      <c r="FA11"/>
      <c r="FB11"/>
      <c r="FC11"/>
      <c r="FD11"/>
      <c r="FE11"/>
      <c r="FF11"/>
      <c r="FG11"/>
      <c r="FH11"/>
      <c r="FI11"/>
      <c r="FJ11"/>
      <c r="FK11"/>
      <c r="FL11"/>
      <c r="FM11"/>
      <c r="FN11"/>
      <c r="FO11"/>
      <c r="FP11"/>
      <c r="FQ11"/>
      <c r="FR11"/>
      <c r="FS11"/>
      <c r="FT11"/>
      <c r="FU11"/>
      <c r="FV11"/>
      <c r="FW11"/>
      <c r="FX11"/>
      <c r="FY11"/>
      <c r="FZ11"/>
      <c r="GA11"/>
      <c r="GB11"/>
      <c r="GC11"/>
      <c r="GD11"/>
      <c r="GE11"/>
      <c r="GF11"/>
      <c r="GG11"/>
      <c r="GH11"/>
      <c r="GI11"/>
      <c r="GJ11"/>
      <c r="GK11"/>
      <c r="GL11"/>
      <c r="GM11"/>
      <c r="GN11"/>
      <c r="GO11"/>
      <c r="GP11"/>
      <c r="GQ11"/>
      <c r="GR11"/>
      <c r="GS11"/>
      <c r="GT11"/>
      <c r="GU11"/>
      <c r="GV11"/>
      <c r="GW11"/>
      <c r="GX11"/>
      <c r="GY11"/>
      <c r="GZ11"/>
      <c r="HA11"/>
      <c r="HB11"/>
      <c r="HC11"/>
      <c r="HD11"/>
      <c r="HE11"/>
      <c r="HF11"/>
      <c r="HG11"/>
      <c r="HH11"/>
      <c r="HI11"/>
      <c r="HJ11"/>
      <c r="HK11"/>
      <c r="HL11"/>
      <c r="HM11"/>
      <c r="HN11"/>
      <c r="HO11"/>
      <c r="HP11"/>
      <c r="HQ11"/>
      <c r="HR11"/>
      <c r="HS11"/>
      <c r="HT11"/>
      <c r="HU11"/>
      <c r="HV11"/>
      <c r="HW11"/>
      <c r="HX11"/>
      <c r="HY11"/>
      <c r="HZ11"/>
      <c r="IA11"/>
      <c r="IB11"/>
      <c r="IC11"/>
      <c r="ID11"/>
      <c r="IE11"/>
      <c r="IF11"/>
      <c r="IG11"/>
      <c r="IH11"/>
      <c r="II11"/>
      <c r="IJ11"/>
      <c r="IK11"/>
      <c r="IL11"/>
      <c r="IM11"/>
      <c r="IN11"/>
      <c r="IO11"/>
      <c r="IP11"/>
      <c r="IQ11"/>
      <c r="IR11"/>
      <c r="IS11"/>
      <c r="IT11"/>
      <c r="IU11"/>
      <c r="IV11"/>
      <c r="IW11">
        <v>15</v>
      </c>
    </row>
    <row r="12" spans="1:257" s="32" customFormat="1" ht="21.95" customHeight="1">
      <c r="A12" s="4"/>
      <c r="B12" s="43"/>
      <c r="C12" s="4"/>
      <c r="D12" s="16"/>
      <c r="E12" s="60"/>
      <c r="F12" s="60"/>
      <c r="G12" s="60"/>
      <c r="H12" s="60"/>
      <c r="I12" s="60"/>
      <c r="J12" s="60"/>
      <c r="K12" s="60"/>
      <c r="L12" s="60"/>
      <c r="M12" s="46"/>
      <c r="N12" s="46"/>
      <c r="O12" s="46"/>
      <c r="P12" s="46"/>
      <c r="Q12" s="46"/>
      <c r="R12" s="46"/>
      <c r="S12" s="78"/>
      <c r="T12" s="78"/>
      <c r="U12" s="78"/>
      <c r="V12" s="78"/>
      <c r="IW12" s="32">
        <v>21</v>
      </c>
    </row>
    <row r="13" spans="1:257" s="32" customFormat="1" ht="14.65" customHeight="1">
      <c r="A13" s="4"/>
      <c r="B13" s="43"/>
      <c r="C13" s="4"/>
      <c r="D13" s="16"/>
      <c r="E13" s="4"/>
      <c r="F13" s="4"/>
      <c r="G13" s="4"/>
      <c r="H13" s="4"/>
      <c r="I13" s="4"/>
      <c r="J13" s="4"/>
      <c r="K13" s="4"/>
      <c r="L13" s="4"/>
      <c r="M13" s="46"/>
      <c r="N13" s="46"/>
      <c r="O13" s="46"/>
      <c r="P13" s="46"/>
      <c r="Q13" s="46"/>
      <c r="R13" s="46"/>
      <c r="S13" s="78"/>
      <c r="T13" s="78"/>
      <c r="U13" s="78"/>
      <c r="V13" s="78"/>
      <c r="IW13" s="32">
        <v>14</v>
      </c>
    </row>
    <row r="14" spans="1:257" s="32" customFormat="1" ht="1.1499999999999999" customHeight="1">
      <c r="A14" s="4"/>
      <c r="B14" s="43"/>
      <c r="C14" s="4"/>
      <c r="D14" s="16"/>
      <c r="E14" s="4"/>
      <c r="F14" s="4"/>
      <c r="G14" s="4"/>
      <c r="H14" s="4"/>
      <c r="I14" s="4"/>
      <c r="J14" s="4"/>
      <c r="K14" s="4"/>
      <c r="L14" s="4"/>
      <c r="M14" s="46"/>
      <c r="N14" s="46"/>
      <c r="O14" s="46"/>
      <c r="P14" s="46"/>
      <c r="Q14" s="46"/>
      <c r="R14" s="46"/>
      <c r="S14" s="78"/>
      <c r="T14" s="78"/>
      <c r="U14" s="78"/>
      <c r="V14" s="78"/>
      <c r="IW14" s="32">
        <v>1</v>
      </c>
    </row>
    <row r="15" spans="1:257" ht="22.5" hidden="1" customHeight="1">
      <c r="A15" s="4" t="s">
        <v>82</v>
      </c>
      <c r="B15" s="43">
        <v>0</v>
      </c>
      <c r="C15" s="4">
        <v>0</v>
      </c>
      <c r="D15" s="16">
        <v>3</v>
      </c>
      <c r="E15" s="4">
        <v>6</v>
      </c>
      <c r="F15" s="4">
        <v>27</v>
      </c>
      <c r="G15" s="4">
        <v>16</v>
      </c>
      <c r="H15" s="4">
        <v>12</v>
      </c>
      <c r="I15" s="4">
        <v>32</v>
      </c>
      <c r="J15" s="4">
        <v>41</v>
      </c>
      <c r="K15" s="4">
        <v>41</v>
      </c>
      <c r="L15" s="4">
        <v>89</v>
      </c>
      <c r="M15" s="46">
        <v>3</v>
      </c>
      <c r="N15" s="46">
        <v>8</v>
      </c>
      <c r="O15" s="46">
        <v>8</v>
      </c>
      <c r="P15" s="46">
        <v>8</v>
      </c>
      <c r="Q15" s="46">
        <v>25</v>
      </c>
      <c r="R15" s="46">
        <v>14</v>
      </c>
      <c r="S15" s="78">
        <v>8</v>
      </c>
      <c r="T15" s="78">
        <v>8</v>
      </c>
      <c r="U15" s="78">
        <v>8</v>
      </c>
      <c r="V15" s="78">
        <v>8</v>
      </c>
      <c r="W15" s="4">
        <v>8</v>
      </c>
      <c r="X15" s="4">
        <v>8</v>
      </c>
      <c r="Y15" s="4">
        <v>8</v>
      </c>
      <c r="Z15" s="4">
        <v>8</v>
      </c>
      <c r="AA15" s="4">
        <v>8</v>
      </c>
      <c r="AB15" s="4">
        <v>8</v>
      </c>
      <c r="AC15" s="4">
        <v>8</v>
      </c>
      <c r="AD15" s="4">
        <v>8</v>
      </c>
      <c r="AE15" s="4">
        <v>8</v>
      </c>
      <c r="AF15" s="4">
        <v>8</v>
      </c>
      <c r="AG15" s="4">
        <v>8</v>
      </c>
      <c r="AH15" s="4">
        <v>8</v>
      </c>
      <c r="AI15" s="4">
        <v>8</v>
      </c>
      <c r="AJ15" s="4">
        <v>8</v>
      </c>
      <c r="AK15" s="4">
        <v>8</v>
      </c>
      <c r="AL15" s="4">
        <v>8</v>
      </c>
      <c r="AM15" s="4">
        <v>8</v>
      </c>
      <c r="AN15" s="4">
        <v>8</v>
      </c>
      <c r="AO15" s="4">
        <v>8</v>
      </c>
      <c r="AP15" s="4">
        <v>8</v>
      </c>
      <c r="AQ15" s="4">
        <v>8</v>
      </c>
      <c r="AR15" s="4">
        <v>8</v>
      </c>
      <c r="AS15" s="4">
        <v>8</v>
      </c>
      <c r="AT15" s="4">
        <v>8</v>
      </c>
      <c r="AU15" s="4">
        <v>8</v>
      </c>
      <c r="AV15" s="4">
        <v>8</v>
      </c>
      <c r="AW15" s="4">
        <v>8</v>
      </c>
      <c r="AX15" s="4">
        <v>8</v>
      </c>
      <c r="AY15" s="4">
        <v>8</v>
      </c>
      <c r="AZ15" s="4">
        <v>8</v>
      </c>
      <c r="BA15" s="4">
        <v>8</v>
      </c>
      <c r="BB15" s="4">
        <v>8</v>
      </c>
      <c r="BC15" s="4">
        <v>8</v>
      </c>
      <c r="BD15" s="4">
        <v>8</v>
      </c>
      <c r="BE15" s="4">
        <v>8</v>
      </c>
      <c r="BF15" s="4">
        <v>8</v>
      </c>
      <c r="BG15" s="4">
        <v>8</v>
      </c>
      <c r="BH15" s="4">
        <v>8</v>
      </c>
      <c r="BI15" s="4">
        <v>8</v>
      </c>
      <c r="BJ15" s="4">
        <v>8</v>
      </c>
      <c r="BK15" s="4">
        <v>8</v>
      </c>
      <c r="BL15" s="4">
        <v>8</v>
      </c>
      <c r="BM15" s="4">
        <v>8</v>
      </c>
      <c r="BN15" s="4">
        <v>8</v>
      </c>
      <c r="BO15" s="4">
        <v>8</v>
      </c>
      <c r="BP15" s="4">
        <v>8</v>
      </c>
      <c r="BQ15" s="4">
        <v>8</v>
      </c>
      <c r="BR15" s="4">
        <v>8</v>
      </c>
      <c r="BS15" s="4">
        <v>8</v>
      </c>
      <c r="BT15" s="4">
        <v>8</v>
      </c>
      <c r="BU15" s="4">
        <v>8</v>
      </c>
      <c r="BV15" s="4">
        <v>8</v>
      </c>
      <c r="BW15" s="4">
        <v>8</v>
      </c>
      <c r="BX15" s="4">
        <v>8</v>
      </c>
      <c r="BY15" s="4">
        <v>8</v>
      </c>
      <c r="BZ15" s="4">
        <v>8</v>
      </c>
      <c r="CA15" s="4">
        <v>8</v>
      </c>
      <c r="CB15" s="4">
        <v>8</v>
      </c>
      <c r="CC15" s="4">
        <v>8</v>
      </c>
      <c r="CD15" s="4">
        <v>8</v>
      </c>
      <c r="CE15" s="4">
        <v>8</v>
      </c>
      <c r="CF15" s="4">
        <v>8</v>
      </c>
      <c r="CG15" s="4">
        <v>8</v>
      </c>
      <c r="CH15" s="4">
        <v>8</v>
      </c>
      <c r="CI15" s="4">
        <v>8</v>
      </c>
      <c r="CJ15" s="4">
        <v>8</v>
      </c>
      <c r="CK15" s="4">
        <v>8</v>
      </c>
      <c r="CL15" s="4">
        <v>8</v>
      </c>
      <c r="CM15" s="4">
        <v>8</v>
      </c>
      <c r="CN15" s="4">
        <v>8</v>
      </c>
      <c r="CO15" s="4">
        <v>8</v>
      </c>
      <c r="CP15" s="4">
        <v>8</v>
      </c>
      <c r="CQ15" s="4">
        <v>8</v>
      </c>
      <c r="CR15" s="4">
        <v>8</v>
      </c>
      <c r="CS15" s="4">
        <v>8</v>
      </c>
      <c r="CT15" s="4">
        <v>8</v>
      </c>
      <c r="CU15" s="4">
        <v>8</v>
      </c>
      <c r="CV15" s="4">
        <v>8</v>
      </c>
      <c r="CW15" s="4">
        <v>8</v>
      </c>
      <c r="CX15" s="4">
        <v>8</v>
      </c>
      <c r="CY15" s="4">
        <v>8</v>
      </c>
      <c r="CZ15" s="4">
        <v>8</v>
      </c>
      <c r="DA15" s="4">
        <v>8</v>
      </c>
      <c r="DB15" s="4">
        <v>8</v>
      </c>
      <c r="DC15" s="4">
        <v>8</v>
      </c>
      <c r="DD15" s="4">
        <v>8</v>
      </c>
      <c r="DE15" s="4">
        <v>8</v>
      </c>
      <c r="DF15" s="4">
        <v>8</v>
      </c>
      <c r="DG15" s="4">
        <v>8</v>
      </c>
      <c r="DH15" s="4">
        <v>8</v>
      </c>
      <c r="DI15" s="4">
        <v>8</v>
      </c>
      <c r="DJ15" s="4">
        <v>8</v>
      </c>
      <c r="DK15" s="4">
        <v>8</v>
      </c>
      <c r="DL15" s="4">
        <v>8</v>
      </c>
      <c r="DM15" s="4">
        <v>8</v>
      </c>
      <c r="DN15" s="4">
        <v>8</v>
      </c>
      <c r="DO15" s="4">
        <v>8</v>
      </c>
      <c r="DP15" s="4">
        <v>8</v>
      </c>
      <c r="DQ15" s="4">
        <v>8</v>
      </c>
      <c r="DR15" s="4">
        <v>8</v>
      </c>
      <c r="DS15" s="4">
        <v>8</v>
      </c>
      <c r="DT15" s="4">
        <v>8</v>
      </c>
      <c r="DU15" s="4">
        <v>8</v>
      </c>
      <c r="DV15" s="4">
        <v>8</v>
      </c>
      <c r="DW15" s="4">
        <v>8</v>
      </c>
      <c r="DX15" s="4">
        <v>8</v>
      </c>
      <c r="DY15" s="4">
        <v>8</v>
      </c>
      <c r="DZ15" s="4">
        <v>8</v>
      </c>
      <c r="EA15" s="4">
        <v>8</v>
      </c>
      <c r="EB15" s="4">
        <v>8</v>
      </c>
      <c r="EC15" s="4">
        <v>8</v>
      </c>
      <c r="ED15" s="4">
        <v>8</v>
      </c>
      <c r="EE15" s="4">
        <v>8</v>
      </c>
      <c r="EF15" s="4">
        <v>8</v>
      </c>
      <c r="EG15" s="4">
        <v>8</v>
      </c>
      <c r="EH15" s="4">
        <v>8</v>
      </c>
      <c r="EI15" s="4">
        <v>8</v>
      </c>
      <c r="EJ15" s="4">
        <v>8</v>
      </c>
      <c r="EK15" s="4">
        <v>8</v>
      </c>
      <c r="EL15" s="4">
        <v>8</v>
      </c>
      <c r="EM15" s="4">
        <v>8</v>
      </c>
      <c r="EN15" s="4">
        <v>8</v>
      </c>
      <c r="EO15" s="4">
        <v>8</v>
      </c>
      <c r="EP15" s="4">
        <v>8</v>
      </c>
      <c r="EQ15" s="4">
        <v>8</v>
      </c>
      <c r="ER15" s="4">
        <v>8</v>
      </c>
      <c r="ES15" s="4">
        <v>8</v>
      </c>
      <c r="ET15" s="4">
        <v>8</v>
      </c>
      <c r="EU15" s="4">
        <v>8</v>
      </c>
      <c r="EV15" s="4">
        <v>8</v>
      </c>
      <c r="EW15" s="4">
        <v>8</v>
      </c>
      <c r="EX15" s="4">
        <v>8</v>
      </c>
      <c r="EY15" s="4">
        <v>8</v>
      </c>
      <c r="EZ15" s="4">
        <v>8</v>
      </c>
      <c r="FA15" s="4">
        <v>8</v>
      </c>
      <c r="FB15" s="4">
        <v>8</v>
      </c>
      <c r="FC15" s="4">
        <v>8</v>
      </c>
      <c r="FD15" s="4">
        <v>8</v>
      </c>
      <c r="FE15" s="4">
        <v>8</v>
      </c>
      <c r="FF15" s="4">
        <v>8</v>
      </c>
      <c r="FG15" s="4">
        <v>8</v>
      </c>
      <c r="FH15" s="4">
        <v>8</v>
      </c>
      <c r="FI15" s="4">
        <v>8</v>
      </c>
      <c r="FJ15" s="4">
        <v>8</v>
      </c>
      <c r="FK15" s="4">
        <v>8</v>
      </c>
      <c r="FL15" s="4">
        <v>8</v>
      </c>
      <c r="FM15" s="4">
        <v>8</v>
      </c>
      <c r="FN15" s="4">
        <v>8</v>
      </c>
      <c r="FO15" s="4">
        <v>8</v>
      </c>
      <c r="FP15" s="4">
        <v>8</v>
      </c>
      <c r="FQ15" s="4">
        <v>8</v>
      </c>
      <c r="FR15" s="4">
        <v>8</v>
      </c>
      <c r="FS15" s="4">
        <v>8</v>
      </c>
      <c r="FT15" s="4">
        <v>8</v>
      </c>
      <c r="FU15" s="4">
        <v>8</v>
      </c>
      <c r="FV15" s="4">
        <v>8</v>
      </c>
      <c r="FW15" s="4">
        <v>8</v>
      </c>
      <c r="FX15" s="4">
        <v>8</v>
      </c>
      <c r="FY15" s="4">
        <v>8</v>
      </c>
      <c r="FZ15" s="4">
        <v>8</v>
      </c>
      <c r="GA15" s="4">
        <v>8</v>
      </c>
      <c r="GB15" s="4">
        <v>8</v>
      </c>
      <c r="GC15" s="4">
        <v>8</v>
      </c>
      <c r="GD15" s="4">
        <v>8</v>
      </c>
      <c r="GE15" s="4">
        <v>8</v>
      </c>
      <c r="GF15" s="4">
        <v>8</v>
      </c>
      <c r="GG15" s="4">
        <v>8</v>
      </c>
      <c r="GH15" s="4">
        <v>8</v>
      </c>
      <c r="GI15" s="4">
        <v>8</v>
      </c>
      <c r="GJ15" s="4">
        <v>8</v>
      </c>
      <c r="GK15" s="4">
        <v>8</v>
      </c>
      <c r="GL15" s="4">
        <v>8</v>
      </c>
      <c r="GM15" s="4">
        <v>8</v>
      </c>
      <c r="GN15" s="4">
        <v>8</v>
      </c>
      <c r="GO15" s="4">
        <v>8</v>
      </c>
      <c r="GP15" s="4">
        <v>8</v>
      </c>
      <c r="GQ15" s="4">
        <v>8</v>
      </c>
      <c r="GR15" s="4">
        <v>8</v>
      </c>
      <c r="GS15" s="4">
        <v>8</v>
      </c>
      <c r="GT15" s="4">
        <v>8</v>
      </c>
      <c r="GU15" s="4">
        <v>8</v>
      </c>
      <c r="GV15" s="4">
        <v>8</v>
      </c>
      <c r="GW15" s="4">
        <v>8</v>
      </c>
      <c r="GX15" s="4">
        <v>8</v>
      </c>
      <c r="GY15" s="4">
        <v>8</v>
      </c>
      <c r="GZ15" s="4">
        <v>8</v>
      </c>
      <c r="HA15" s="4">
        <v>8</v>
      </c>
      <c r="HB15" s="4">
        <v>8</v>
      </c>
      <c r="HC15" s="4">
        <v>8</v>
      </c>
      <c r="HD15" s="4">
        <v>8</v>
      </c>
      <c r="HE15" s="4">
        <v>8</v>
      </c>
      <c r="HF15" s="4">
        <v>8</v>
      </c>
      <c r="HG15" s="4">
        <v>8</v>
      </c>
      <c r="HH15" s="4">
        <v>8</v>
      </c>
      <c r="HI15" s="4">
        <v>8</v>
      </c>
      <c r="HJ15" s="4">
        <v>8</v>
      </c>
      <c r="HK15" s="4">
        <v>8</v>
      </c>
      <c r="HL15" s="4">
        <v>8</v>
      </c>
      <c r="HM15" s="4">
        <v>8</v>
      </c>
      <c r="HN15" s="4">
        <v>8</v>
      </c>
      <c r="HO15" s="4">
        <v>8</v>
      </c>
      <c r="HP15" s="4">
        <v>8</v>
      </c>
      <c r="HQ15" s="4">
        <v>8</v>
      </c>
      <c r="HR15" s="4">
        <v>8</v>
      </c>
      <c r="HS15" s="4">
        <v>8</v>
      </c>
      <c r="HT15" s="4">
        <v>8</v>
      </c>
      <c r="HU15" s="4">
        <v>8</v>
      </c>
      <c r="HV15" s="4">
        <v>8</v>
      </c>
      <c r="HW15" s="4">
        <v>8</v>
      </c>
      <c r="HX15" s="4">
        <v>8</v>
      </c>
      <c r="HY15" s="4">
        <v>8</v>
      </c>
      <c r="HZ15" s="4">
        <v>8</v>
      </c>
      <c r="IA15" s="4">
        <v>8</v>
      </c>
      <c r="IB15" s="4">
        <v>8</v>
      </c>
      <c r="IC15" s="4">
        <v>8</v>
      </c>
      <c r="ID15" s="4">
        <v>8</v>
      </c>
      <c r="IE15" s="4">
        <v>8</v>
      </c>
      <c r="IF15" s="4">
        <v>8</v>
      </c>
      <c r="IG15" s="4">
        <v>8</v>
      </c>
      <c r="IH15" s="4">
        <v>8</v>
      </c>
      <c r="II15" s="4">
        <v>8</v>
      </c>
      <c r="IJ15" s="4">
        <v>8</v>
      </c>
      <c r="IK15" s="4">
        <v>8</v>
      </c>
      <c r="IL15" s="4">
        <v>8</v>
      </c>
      <c r="IM15" s="4">
        <v>8</v>
      </c>
      <c r="IN15" s="4">
        <v>8</v>
      </c>
      <c r="IO15" s="4">
        <v>8</v>
      </c>
      <c r="IP15" s="4">
        <v>8</v>
      </c>
      <c r="IQ15" s="4">
        <v>8</v>
      </c>
      <c r="IR15" s="4">
        <v>8</v>
      </c>
      <c r="IS15" s="4">
        <v>8</v>
      </c>
      <c r="IT15" s="4">
        <v>8</v>
      </c>
      <c r="IU15" s="4">
        <v>8</v>
      </c>
      <c r="IV15" s="4">
        <v>8</v>
      </c>
      <c r="IW15" s="4">
        <v>23</v>
      </c>
    </row>
  </sheetData>
  <sheetProtection formatColumns="0" formatRows="0" insertRows="0" deleteColumns="0" deleteRows="0" sort="0" autoFilter="0"/>
  <mergeCells count="10">
    <mergeCell ref="L7:L9"/>
    <mergeCell ref="E7:K7"/>
    <mergeCell ref="A10:A11"/>
    <mergeCell ref="L10:L11"/>
    <mergeCell ref="E5:K5"/>
    <mergeCell ref="F8:F9"/>
    <mergeCell ref="E8:E9"/>
    <mergeCell ref="G8:I8"/>
    <mergeCell ref="J8:J9"/>
    <mergeCell ref="K8:K9"/>
  </mergeCells>
  <dataValidations count="5">
    <dataValidation type="textLength" allowBlank="1" showInputMessage="1" showErrorMessage="1" sqref="H3:I3" xr:uid="{00000000-0002-0000-3500-000000000000}">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xr:uid="{00000000-0002-0000-3500-000001000000}"/>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10:K10 J2:K3" xr:uid="{00000000-0002-0000-3500-000002000000}">
      <formula1>900</formula1>
    </dataValidation>
    <dataValidation type="time" allowBlank="1" showInputMessage="1" showErrorMessage="1" prompt="Укажите время в формате ЧЧ:ММ" sqref="H10 H2" xr:uid="{00000000-0002-0000-3500-000003000000}">
      <formula1>0</formula1>
      <formula2>0.999305555555555</formula2>
    </dataValidation>
    <dataValidation type="textLength" operator="lessThanOrEqual" allowBlank="1" showInputMessage="1" showErrorMessage="1" sqref="I10 I2" xr:uid="{00000000-0002-0000-3500-000004000000}">
      <formula1>990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E953D9-4FB9-50A5-63FC-5FC907952DD7}">
  <dimension ref="A1:IW15"/>
  <sheetViews>
    <sheetView showGridLines="0" zoomScale="90" workbookViewId="0">
      <pane xSplit="6" ySplit="9" topLeftCell="G10" activePane="bottomRight" state="frozen"/>
      <selection pane="topRight" activeCell="G1" sqref="G1"/>
      <selection pane="bottomLeft" activeCell="A10" sqref="A10"/>
      <selection pane="bottomRight"/>
    </sheetView>
  </sheetViews>
  <sheetFormatPr defaultColWidth="9.140625" defaultRowHeight="14.25" customHeight="1"/>
  <cols>
    <col min="1" max="1" width="9.140625" style="4" hidden="1"/>
    <col min="2" max="2" width="9.140625" style="43" hidden="1"/>
    <col min="3" max="3" width="3.7109375" style="4" hidden="1" customWidth="1"/>
    <col min="4" max="4" width="3" style="16" customWidth="1"/>
    <col min="5" max="5" width="6" style="4" customWidth="1"/>
    <col min="6" max="6" width="27" style="4" customWidth="1"/>
    <col min="7" max="7" width="16" style="4" customWidth="1"/>
    <col min="8" max="8" width="12" style="4" customWidth="1"/>
    <col min="9" max="9" width="32" style="4" customWidth="1"/>
    <col min="10" max="11" width="41" style="4" customWidth="1"/>
    <col min="12" max="12" width="89" style="4" customWidth="1"/>
    <col min="13" max="13" width="3" style="46" customWidth="1"/>
    <col min="14" max="16" width="8" style="46" customWidth="1"/>
    <col min="17" max="17" width="25" style="46" customWidth="1"/>
    <col min="18" max="18" width="14" style="46" customWidth="1"/>
    <col min="19" max="22" width="8" style="78" customWidth="1"/>
    <col min="23" max="256" width="8" style="4" customWidth="1"/>
    <col min="257" max="257" width="9.140625" style="4" hidden="1"/>
  </cols>
  <sheetData>
    <row r="1" spans="1:257" ht="22.5" hidden="1" customHeight="1">
      <c r="IW1" s="4" t="s">
        <v>14</v>
      </c>
    </row>
    <row r="2" spans="1:257" ht="22.5" hidden="1" customHeight="1">
      <c r="B2" s="43">
        <v>1</v>
      </c>
      <c r="C2" s="43"/>
      <c r="D2" s="606" t="s">
        <v>123</v>
      </c>
      <c r="E2" s="29"/>
      <c r="F2" s="594" t="str">
        <f>IF(ROIV_INFO_NAME="","",ROIV_INFO_NAME)</f>
        <v>ООО "Восточная Тепловая компания"</v>
      </c>
      <c r="G2" s="544" t="s">
        <v>22</v>
      </c>
      <c r="H2" s="600"/>
      <c r="I2" s="487"/>
      <c r="J2" s="131"/>
      <c r="K2" s="131"/>
      <c r="L2" s="43"/>
      <c r="M2" s="485" t="e">
        <f ca="1">MERGEVALUE(F2)</f>
        <v>#NAME?</v>
      </c>
      <c r="P2" s="46" t="str">
        <f t="array" ref="P2">IF(ISERROR(MATCH(MID(Q2,1,250),MID(note_ter,1,250),0)),"n","y")</f>
        <v>n</v>
      </c>
      <c r="R2" s="46" t="str">
        <f>G2&amp;"("&amp;L2&amp;")"</f>
        <v>()</v>
      </c>
      <c r="S2" s="43"/>
      <c r="T2" s="43"/>
      <c r="U2" s="135"/>
      <c r="V2" s="43"/>
      <c r="W2" s="43"/>
      <c r="X2" s="43"/>
      <c r="Y2" s="43"/>
      <c r="Z2" s="43"/>
      <c r="AA2" s="46"/>
      <c r="AB2" s="46"/>
      <c r="AC2" s="46"/>
      <c r="AD2" s="46"/>
      <c r="AE2" s="46"/>
      <c r="AF2" s="46"/>
      <c r="AG2" s="46"/>
      <c r="AH2" s="46"/>
      <c r="AI2" s="46"/>
      <c r="AJ2" s="46"/>
      <c r="AK2" s="46"/>
      <c r="AL2" s="46"/>
      <c r="AM2" s="46"/>
      <c r="AN2" s="46"/>
      <c r="AO2" s="46"/>
      <c r="AP2" s="46"/>
      <c r="AQ2" s="46"/>
      <c r="AR2" s="46"/>
      <c r="AS2" s="46"/>
      <c r="AT2" s="46"/>
      <c r="AU2" s="46"/>
      <c r="AV2" s="46"/>
      <c r="AW2" s="46"/>
      <c r="AX2" s="46"/>
      <c r="AY2" s="46"/>
      <c r="AZ2" s="46"/>
      <c r="BA2" s="46"/>
      <c r="BB2" s="46"/>
      <c r="BC2" s="46"/>
      <c r="BD2" s="46"/>
      <c r="BE2" s="46"/>
      <c r="BF2" s="46"/>
      <c r="BG2" s="46"/>
      <c r="BH2" s="46"/>
      <c r="BI2" s="46"/>
      <c r="BJ2" s="46"/>
      <c r="BK2" s="46"/>
      <c r="BL2" s="46"/>
      <c r="BM2" s="46"/>
      <c r="BN2" s="46"/>
      <c r="BO2" s="46"/>
      <c r="BP2" s="46"/>
      <c r="BQ2" s="46"/>
      <c r="BR2" s="46"/>
      <c r="BS2" s="46"/>
      <c r="BT2" s="46"/>
      <c r="BU2" s="46"/>
      <c r="BV2" s="43"/>
      <c r="BW2" s="43"/>
      <c r="BX2" s="43"/>
      <c r="BY2" s="43"/>
      <c r="BZ2" s="43"/>
      <c r="CA2" s="43"/>
      <c r="CB2" s="43"/>
      <c r="CC2" s="43"/>
      <c r="CD2" s="43"/>
      <c r="CE2" s="43"/>
      <c r="CF2"/>
      <c r="CG2"/>
      <c r="CH2"/>
      <c r="CI2"/>
      <c r="CJ2"/>
      <c r="CK2"/>
      <c r="CL2"/>
      <c r="CM2"/>
      <c r="CN2"/>
      <c r="CO2"/>
      <c r="CP2"/>
      <c r="CQ2"/>
      <c r="CR2"/>
      <c r="CS2"/>
      <c r="CT2"/>
      <c r="CU2"/>
      <c r="CV2"/>
      <c r="CW2"/>
      <c r="CX2"/>
      <c r="CY2"/>
      <c r="CZ2"/>
      <c r="DA2"/>
      <c r="DB2"/>
      <c r="DC2"/>
      <c r="DD2"/>
      <c r="DE2"/>
      <c r="DF2"/>
      <c r="DG2"/>
      <c r="DH2"/>
      <c r="DI2"/>
      <c r="DJ2"/>
      <c r="DK2"/>
      <c r="DL2"/>
      <c r="DM2"/>
      <c r="DN2"/>
      <c r="DO2"/>
      <c r="DP2"/>
      <c r="DQ2"/>
      <c r="DR2"/>
      <c r="DS2"/>
      <c r="DT2"/>
      <c r="DU2"/>
      <c r="DV2"/>
      <c r="DW2"/>
      <c r="DX2"/>
      <c r="DY2"/>
      <c r="DZ2"/>
      <c r="EA2"/>
      <c r="EB2"/>
      <c r="EC2"/>
      <c r="ED2"/>
      <c r="EE2"/>
      <c r="EF2"/>
      <c r="EG2"/>
      <c r="EH2"/>
      <c r="EI2"/>
      <c r="EJ2"/>
      <c r="EK2"/>
      <c r="EL2"/>
      <c r="EM2"/>
      <c r="EN2"/>
      <c r="EO2"/>
      <c r="EP2"/>
      <c r="EQ2"/>
      <c r="ER2"/>
      <c r="ES2"/>
      <c r="ET2"/>
      <c r="EU2"/>
      <c r="EV2"/>
      <c r="EW2"/>
      <c r="EX2"/>
      <c r="EY2"/>
      <c r="EZ2"/>
      <c r="FA2"/>
      <c r="FB2"/>
      <c r="FC2"/>
      <c r="FD2"/>
      <c r="FE2"/>
      <c r="FF2"/>
      <c r="FG2"/>
      <c r="FH2"/>
      <c r="FI2"/>
      <c r="FJ2"/>
      <c r="FK2"/>
      <c r="FL2"/>
      <c r="FM2"/>
      <c r="FN2"/>
      <c r="FO2"/>
      <c r="FP2"/>
      <c r="FQ2"/>
      <c r="FR2"/>
      <c r="FS2"/>
      <c r="FT2"/>
      <c r="FU2"/>
      <c r="FV2"/>
      <c r="FW2"/>
      <c r="FX2"/>
      <c r="FY2"/>
      <c r="FZ2"/>
      <c r="GA2"/>
      <c r="GB2"/>
      <c r="GC2"/>
      <c r="GD2"/>
      <c r="GE2"/>
      <c r="GF2"/>
      <c r="GG2"/>
      <c r="GH2"/>
      <c r="GI2"/>
      <c r="GJ2"/>
      <c r="GK2"/>
      <c r="GL2"/>
      <c r="GM2"/>
      <c r="GN2"/>
      <c r="GO2"/>
      <c r="GP2"/>
      <c r="GQ2"/>
      <c r="GR2"/>
      <c r="GS2"/>
      <c r="GT2"/>
      <c r="GU2"/>
      <c r="GV2"/>
      <c r="GW2"/>
      <c r="GX2"/>
      <c r="GY2"/>
      <c r="GZ2"/>
      <c r="HA2"/>
      <c r="HB2"/>
      <c r="HC2"/>
      <c r="HD2"/>
      <c r="HE2"/>
      <c r="HF2"/>
      <c r="HG2"/>
      <c r="HH2"/>
      <c r="HI2"/>
      <c r="HJ2"/>
      <c r="HK2"/>
      <c r="HL2"/>
      <c r="HM2"/>
      <c r="HN2"/>
      <c r="HO2"/>
      <c r="HP2"/>
      <c r="HQ2"/>
      <c r="HR2"/>
      <c r="HS2"/>
      <c r="HT2"/>
      <c r="HU2"/>
      <c r="HV2"/>
      <c r="HW2"/>
      <c r="HX2"/>
      <c r="HY2"/>
      <c r="HZ2"/>
      <c r="IA2"/>
      <c r="IB2"/>
      <c r="IC2"/>
      <c r="ID2"/>
      <c r="IE2"/>
      <c r="IF2"/>
      <c r="IG2"/>
      <c r="IH2"/>
      <c r="II2"/>
      <c r="IJ2"/>
      <c r="IK2"/>
      <c r="IL2"/>
      <c r="IM2"/>
      <c r="IN2"/>
      <c r="IO2"/>
      <c r="IP2"/>
      <c r="IQ2"/>
      <c r="IR2"/>
      <c r="IS2"/>
      <c r="IT2"/>
      <c r="IU2"/>
      <c r="IV2"/>
      <c r="IW2">
        <v>0</v>
      </c>
    </row>
    <row r="3" spans="1:257" s="46" customFormat="1" ht="5.25" hidden="1" customHeight="1">
      <c r="A3" s="117"/>
      <c r="F3" s="46" t="s">
        <v>83</v>
      </c>
      <c r="G3" s="546" t="s">
        <v>84</v>
      </c>
      <c r="L3" s="46" t="s">
        <v>85</v>
      </c>
      <c r="M3" s="46" t="s">
        <v>83</v>
      </c>
      <c r="IW3" s="46">
        <v>0</v>
      </c>
    </row>
    <row r="4" spans="1:257" s="32" customFormat="1" ht="14.65" customHeight="1">
      <c r="A4" s="4"/>
      <c r="B4" s="43"/>
      <c r="C4" s="4"/>
      <c r="D4" s="16"/>
      <c r="E4" s="4"/>
      <c r="F4" s="4"/>
      <c r="G4" s="4"/>
      <c r="H4" s="4"/>
      <c r="I4" s="4"/>
      <c r="J4" s="4"/>
      <c r="K4" s="4"/>
      <c r="L4" s="4"/>
      <c r="M4" s="46"/>
      <c r="N4" s="46"/>
      <c r="O4" s="46"/>
      <c r="P4" s="46"/>
      <c r="Q4" s="46"/>
      <c r="R4" s="46"/>
      <c r="S4" s="78"/>
      <c r="T4" s="78"/>
      <c r="U4" s="78"/>
      <c r="V4" s="78"/>
      <c r="IW4" s="32">
        <v>14</v>
      </c>
    </row>
    <row r="5" spans="1:257" s="32" customFormat="1" ht="27.4" customHeight="1">
      <c r="A5" s="4"/>
      <c r="B5" s="43"/>
      <c r="C5" s="4"/>
      <c r="D5" s="16"/>
      <c r="E5" s="666"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666"/>
      <c r="G5" s="666"/>
      <c r="H5" s="666"/>
      <c r="I5" s="666"/>
      <c r="J5" s="666"/>
      <c r="K5" s="666"/>
      <c r="L5" s="4"/>
      <c r="M5" s="46"/>
      <c r="N5" s="46"/>
      <c r="O5" s="46"/>
      <c r="P5" s="46"/>
      <c r="Q5" s="46"/>
      <c r="R5" s="46"/>
      <c r="S5" s="78"/>
      <c r="T5" s="78"/>
      <c r="U5" s="78"/>
      <c r="V5" s="78"/>
      <c r="IW5" s="32">
        <v>26</v>
      </c>
    </row>
    <row r="6" spans="1:257" s="32" customFormat="1" ht="14.65" customHeight="1">
      <c r="A6" s="4"/>
      <c r="B6" s="43"/>
      <c r="C6" s="4"/>
      <c r="D6" s="16"/>
      <c r="E6" s="4"/>
      <c r="F6" s="51"/>
      <c r="G6" s="51"/>
      <c r="H6" s="51"/>
      <c r="I6" s="51"/>
      <c r="J6" s="51"/>
      <c r="K6" s="51"/>
      <c r="L6" s="4"/>
      <c r="M6" s="46"/>
      <c r="N6" s="46"/>
      <c r="O6" s="46"/>
      <c r="P6" s="46"/>
      <c r="Q6" s="46"/>
      <c r="R6" s="46"/>
      <c r="S6" s="78"/>
      <c r="T6" s="78"/>
      <c r="U6" s="78"/>
      <c r="V6" s="78"/>
      <c r="IW6" s="32">
        <v>14</v>
      </c>
    </row>
    <row r="7" spans="1:257" s="32" customFormat="1" ht="14.65" customHeight="1">
      <c r="A7" s="4"/>
      <c r="B7" s="43"/>
      <c r="C7" s="4"/>
      <c r="D7" s="16"/>
      <c r="E7" s="662" t="s">
        <v>303</v>
      </c>
      <c r="F7" s="666"/>
      <c r="G7" s="666"/>
      <c r="H7" s="666"/>
      <c r="I7" s="666"/>
      <c r="J7" s="666"/>
      <c r="K7" s="666"/>
      <c r="L7" s="845" t="s">
        <v>304</v>
      </c>
      <c r="M7" s="46"/>
      <c r="N7" s="46"/>
      <c r="O7" s="46"/>
      <c r="P7" s="46"/>
      <c r="Q7" s="46"/>
      <c r="R7" s="46"/>
      <c r="S7" s="78"/>
      <c r="T7" s="78"/>
      <c r="U7" s="78"/>
      <c r="V7" s="78"/>
      <c r="IW7" s="32">
        <v>14</v>
      </c>
    </row>
    <row r="8" spans="1:257" s="32" customFormat="1" ht="67.150000000000006" customHeight="1">
      <c r="A8" s="4"/>
      <c r="B8" s="43"/>
      <c r="C8" s="4"/>
      <c r="D8" s="16"/>
      <c r="E8" s="848" t="s">
        <v>88</v>
      </c>
      <c r="F8" s="848" t="s">
        <v>1880</v>
      </c>
      <c r="G8" s="850" t="s">
        <v>1881</v>
      </c>
      <c r="H8" s="851"/>
      <c r="I8" s="852"/>
      <c r="J8" s="848" t="s">
        <v>1882</v>
      </c>
      <c r="K8" s="848"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847"/>
      <c r="M8" s="46"/>
      <c r="N8" s="46"/>
      <c r="O8" s="46"/>
      <c r="P8" s="46"/>
      <c r="Q8" s="46"/>
      <c r="R8" s="46"/>
      <c r="S8" s="78"/>
      <c r="T8" s="78"/>
      <c r="U8" s="78"/>
      <c r="V8" s="78"/>
      <c r="IW8" s="32">
        <v>64</v>
      </c>
    </row>
    <row r="9" spans="1:257" s="32" customFormat="1" ht="29.25" customHeight="1">
      <c r="A9" s="4"/>
      <c r="B9" s="43"/>
      <c r="C9" s="4"/>
      <c r="D9" s="16"/>
      <c r="E9" s="849"/>
      <c r="F9" s="849"/>
      <c r="G9" s="486" t="s">
        <v>1876</v>
      </c>
      <c r="H9" s="486" t="s">
        <v>1877</v>
      </c>
      <c r="I9" s="486" t="s">
        <v>1878</v>
      </c>
      <c r="J9" s="849"/>
      <c r="K9" s="849"/>
      <c r="L9" s="846"/>
      <c r="M9" s="46"/>
      <c r="N9" s="46"/>
      <c r="O9" s="46"/>
      <c r="P9" s="46"/>
      <c r="Q9" s="46"/>
      <c r="R9" s="46"/>
      <c r="S9" s="78"/>
      <c r="T9" s="78"/>
      <c r="U9" s="78"/>
      <c r="V9" s="78"/>
      <c r="IW9" s="32">
        <v>28</v>
      </c>
    </row>
    <row r="10" spans="1:257" ht="1.1499999999999999" customHeight="1">
      <c r="A10" s="665"/>
      <c r="B10" s="43">
        <v>1</v>
      </c>
      <c r="C10" s="43"/>
      <c r="D10" s="266"/>
      <c r="E10" s="263">
        <v>0</v>
      </c>
      <c r="F10" s="101" t="str">
        <f>IF(ROIV_INFO_NAME="","",ROIV_INFO_NAME)</f>
        <v>ООО "Восточная Тепловая компания"</v>
      </c>
      <c r="G10" s="545" t="s">
        <v>22</v>
      </c>
      <c r="H10" s="596"/>
      <c r="I10" s="596"/>
      <c r="J10" s="163"/>
      <c r="K10" s="163"/>
      <c r="L10" s="672"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485" t="e">
        <f ca="1">MERGEVALUE(F10)</f>
        <v>#NAME?</v>
      </c>
      <c r="P10" s="46" t="str">
        <f t="array" ref="P10">IF(ISERROR(MATCH(MID(Q10,1,250),MID(note_ter,1,250),0)),"n","y")</f>
        <v>n</v>
      </c>
      <c r="R10" s="46"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43"/>
      <c r="T10" s="43"/>
      <c r="U10" s="135"/>
      <c r="V10" s="43"/>
      <c r="W10" s="43"/>
      <c r="X10" s="43"/>
      <c r="Y10" s="43"/>
      <c r="Z10" s="43"/>
      <c r="AA10" s="46"/>
      <c r="AB10" s="46"/>
      <c r="AC10" s="46"/>
      <c r="AD10" s="46"/>
      <c r="AE10" s="46"/>
      <c r="AF10" s="46"/>
      <c r="AG10" s="46"/>
      <c r="AH10" s="46"/>
      <c r="AI10" s="46"/>
      <c r="AJ10" s="46"/>
      <c r="AK10" s="46"/>
      <c r="AL10" s="46"/>
      <c r="AM10" s="46"/>
      <c r="AN10" s="46"/>
      <c r="AO10" s="46"/>
      <c r="AP10" s="46"/>
      <c r="AQ10" s="46"/>
      <c r="AR10" s="46"/>
      <c r="AS10" s="46"/>
      <c r="AT10" s="46"/>
      <c r="AU10" s="46"/>
      <c r="AV10" s="46"/>
      <c r="AW10" s="46"/>
      <c r="AX10" s="46"/>
      <c r="AY10" s="46"/>
      <c r="AZ10" s="46"/>
      <c r="BA10" s="46"/>
      <c r="BB10" s="46"/>
      <c r="BC10" s="46"/>
      <c r="BD10" s="46"/>
      <c r="BE10" s="46"/>
      <c r="BF10" s="46"/>
      <c r="BG10" s="46"/>
      <c r="BH10" s="46"/>
      <c r="BI10" s="46"/>
      <c r="BJ10" s="46"/>
      <c r="BK10" s="46"/>
      <c r="BL10" s="46"/>
      <c r="BM10" s="46"/>
      <c r="BN10" s="46"/>
      <c r="BO10" s="46"/>
      <c r="BP10" s="46"/>
      <c r="BQ10" s="46"/>
      <c r="BR10" s="46"/>
      <c r="BS10" s="46"/>
      <c r="BT10" s="46"/>
      <c r="BU10" s="46"/>
      <c r="BV10" s="43"/>
      <c r="BW10" s="43"/>
      <c r="BX10" s="43"/>
      <c r="BY10" s="43"/>
      <c r="BZ10" s="43"/>
      <c r="CA10" s="43"/>
      <c r="CB10" s="43"/>
      <c r="CC10" s="43"/>
      <c r="CD10" s="43"/>
      <c r="CE10" s="43"/>
      <c r="CF10"/>
      <c r="CG10"/>
      <c r="CH10"/>
      <c r="CI10"/>
      <c r="CJ10"/>
      <c r="CK10"/>
      <c r="CL10"/>
      <c r="CM10"/>
      <c r="CN10"/>
      <c r="CO10"/>
      <c r="CP10"/>
      <c r="CQ10"/>
      <c r="CR10"/>
      <c r="CS10"/>
      <c r="CT10"/>
      <c r="CU10"/>
      <c r="CV10"/>
      <c r="CW10"/>
      <c r="CX10"/>
      <c r="CY10"/>
      <c r="CZ10"/>
      <c r="DA10"/>
      <c r="DB10"/>
      <c r="DC10"/>
      <c r="DD10"/>
      <c r="DE10"/>
      <c r="DF10"/>
      <c r="DG10"/>
      <c r="DH10"/>
      <c r="DI10"/>
      <c r="DJ10"/>
      <c r="DK10"/>
      <c r="DL10"/>
      <c r="DM10"/>
      <c r="DN10"/>
      <c r="DO10"/>
      <c r="DP10"/>
      <c r="DQ10"/>
      <c r="DR10"/>
      <c r="DS10"/>
      <c r="DT10"/>
      <c r="DU10"/>
      <c r="DV10"/>
      <c r="DW10"/>
      <c r="DX10"/>
      <c r="DY10"/>
      <c r="DZ10"/>
      <c r="EA10"/>
      <c r="EB10"/>
      <c r="EC10"/>
      <c r="ED10"/>
      <c r="EE10"/>
      <c r="EF10"/>
      <c r="EG10"/>
      <c r="EH10"/>
      <c r="EI10"/>
      <c r="EJ10"/>
      <c r="EK10"/>
      <c r="EL10"/>
      <c r="EM10"/>
      <c r="EN10"/>
      <c r="EO10"/>
      <c r="EP10"/>
      <c r="EQ10"/>
      <c r="ER10"/>
      <c r="ES10"/>
      <c r="ET10"/>
      <c r="EU10"/>
      <c r="EV10"/>
      <c r="EW10"/>
      <c r="EX10"/>
      <c r="EY10"/>
      <c r="EZ10"/>
      <c r="FA10"/>
      <c r="FB10"/>
      <c r="FC10"/>
      <c r="FD10"/>
      <c r="FE10"/>
      <c r="FF10"/>
      <c r="FG10"/>
      <c r="FH10"/>
      <c r="FI10"/>
      <c r="FJ10"/>
      <c r="FK10"/>
      <c r="FL10"/>
      <c r="FM10"/>
      <c r="FN10"/>
      <c r="FO10"/>
      <c r="FP10"/>
      <c r="FQ10"/>
      <c r="FR10"/>
      <c r="FS10"/>
      <c r="FT10"/>
      <c r="FU10"/>
      <c r="FV10"/>
      <c r="FW10"/>
      <c r="FX10"/>
      <c r="FY10"/>
      <c r="FZ10"/>
      <c r="GA10"/>
      <c r="GB10"/>
      <c r="GC10"/>
      <c r="GD10"/>
      <c r="GE10"/>
      <c r="GF10"/>
      <c r="GG10"/>
      <c r="GH10"/>
      <c r="GI10"/>
      <c r="GJ10"/>
      <c r="GK10"/>
      <c r="GL10"/>
      <c r="GM10"/>
      <c r="GN10"/>
      <c r="GO10"/>
      <c r="GP10"/>
      <c r="GQ10"/>
      <c r="GR10"/>
      <c r="GS10"/>
      <c r="GT10"/>
      <c r="GU10"/>
      <c r="GV10"/>
      <c r="GW10"/>
      <c r="GX10"/>
      <c r="GY10"/>
      <c r="GZ10"/>
      <c r="HA10"/>
      <c r="HB10"/>
      <c r="HC10"/>
      <c r="HD10"/>
      <c r="HE10"/>
      <c r="HF10"/>
      <c r="HG10"/>
      <c r="HH10"/>
      <c r="HI10"/>
      <c r="HJ10"/>
      <c r="HK10"/>
      <c r="HL10"/>
      <c r="HM10"/>
      <c r="HN10"/>
      <c r="HO10"/>
      <c r="HP10"/>
      <c r="HQ10"/>
      <c r="HR10"/>
      <c r="HS10"/>
      <c r="HT10"/>
      <c r="HU10"/>
      <c r="HV10"/>
      <c r="HW10"/>
      <c r="HX10"/>
      <c r="HY10"/>
      <c r="HZ10"/>
      <c r="IA10"/>
      <c r="IB10"/>
      <c r="IC10"/>
      <c r="ID10"/>
      <c r="IE10"/>
      <c r="IF10"/>
      <c r="IG10"/>
      <c r="IH10"/>
      <c r="II10"/>
      <c r="IJ10"/>
      <c r="IK10"/>
      <c r="IL10"/>
      <c r="IM10"/>
      <c r="IN10"/>
      <c r="IO10"/>
      <c r="IP10"/>
      <c r="IQ10"/>
      <c r="IR10"/>
      <c r="IS10"/>
      <c r="IT10"/>
      <c r="IU10"/>
      <c r="IV10"/>
      <c r="IW10">
        <v>1</v>
      </c>
    </row>
    <row r="11" spans="1:257" ht="15.75" customHeight="1">
      <c r="A11" s="665"/>
      <c r="C11" s="22"/>
      <c r="D11" s="56"/>
      <c r="E11" s="91"/>
      <c r="F11" s="37" t="s">
        <v>1879</v>
      </c>
      <c r="G11" s="54"/>
      <c r="H11" s="54"/>
      <c r="I11" s="54"/>
      <c r="J11" s="54"/>
      <c r="K11" s="102"/>
      <c r="L11" s="675"/>
      <c r="M11" s="485"/>
      <c r="S11" s="43"/>
      <c r="T11" s="43"/>
      <c r="U11" s="135"/>
      <c r="V11" s="43"/>
      <c r="W11" s="43"/>
      <c r="X11" s="43"/>
      <c r="Y11" s="43"/>
      <c r="Z11" s="43"/>
      <c r="AA11" s="46"/>
      <c r="AB11" s="46"/>
      <c r="AC11" s="46"/>
      <c r="AD11" s="46"/>
      <c r="AE11" s="46"/>
      <c r="AF11" s="46"/>
      <c r="AG11" s="46"/>
      <c r="AH11" s="46"/>
      <c r="AI11" s="46"/>
      <c r="AJ11" s="46"/>
      <c r="AK11" s="46"/>
      <c r="AL11" s="46"/>
      <c r="AM11" s="46"/>
      <c r="AN11" s="46"/>
      <c r="AO11" s="46"/>
      <c r="AP11" s="46"/>
      <c r="AQ11" s="46"/>
      <c r="AR11" s="46"/>
      <c r="AS11" s="46"/>
      <c r="AT11" s="46"/>
      <c r="AU11" s="46"/>
      <c r="AV11" s="46"/>
      <c r="AW11" s="46"/>
      <c r="AX11" s="46"/>
      <c r="AY11" s="46"/>
      <c r="AZ11" s="46"/>
      <c r="BA11" s="46"/>
      <c r="BB11" s="46"/>
      <c r="BC11" s="46"/>
      <c r="BD11" s="46"/>
      <c r="BE11" s="46"/>
      <c r="BF11" s="46"/>
      <c r="BG11" s="46"/>
      <c r="BH11" s="46"/>
      <c r="BI11" s="46"/>
      <c r="BJ11" s="46"/>
      <c r="BK11" s="46"/>
      <c r="BL11" s="46"/>
      <c r="BM11" s="46"/>
      <c r="BN11" s="46"/>
      <c r="BO11" s="46"/>
      <c r="BP11" s="46"/>
      <c r="BQ11" s="46"/>
      <c r="BR11" s="46"/>
      <c r="BS11" s="46"/>
      <c r="BT11" s="46"/>
      <c r="BU11" s="46"/>
      <c r="BV11" s="43"/>
      <c r="BW11" s="43"/>
      <c r="BX11" s="43"/>
      <c r="BY11" s="43"/>
      <c r="BZ11" s="43"/>
      <c r="CA11" s="43"/>
      <c r="CB11" s="43"/>
      <c r="CC11" s="43"/>
      <c r="CD11" s="43"/>
      <c r="CE11" s="43"/>
      <c r="CF11"/>
      <c r="CG11"/>
      <c r="CH11"/>
      <c r="CI11"/>
      <c r="CJ11"/>
      <c r="CK11"/>
      <c r="CL11"/>
      <c r="CM11"/>
      <c r="CN11"/>
      <c r="CO11"/>
      <c r="CP11"/>
      <c r="CQ11"/>
      <c r="CR11"/>
      <c r="CS11"/>
      <c r="CT11"/>
      <c r="CU11"/>
      <c r="CV11"/>
      <c r="CW11"/>
      <c r="CX11"/>
      <c r="CY11"/>
      <c r="CZ11"/>
      <c r="DA11"/>
      <c r="DB11"/>
      <c r="DC11"/>
      <c r="DD11"/>
      <c r="DE11"/>
      <c r="DF11"/>
      <c r="DG11"/>
      <c r="DH11"/>
      <c r="DI11"/>
      <c r="DJ11"/>
      <c r="DK11"/>
      <c r="DL11"/>
      <c r="DM11"/>
      <c r="DN11"/>
      <c r="DO11"/>
      <c r="DP11"/>
      <c r="DQ11"/>
      <c r="DR11"/>
      <c r="DS11"/>
      <c r="DT11"/>
      <c r="DU11"/>
      <c r="DV11"/>
      <c r="DW11"/>
      <c r="DX11"/>
      <c r="DY11"/>
      <c r="DZ11"/>
      <c r="EA11"/>
      <c r="EB11"/>
      <c r="EC11"/>
      <c r="ED11"/>
      <c r="EE11"/>
      <c r="EF11"/>
      <c r="EG11"/>
      <c r="EH11"/>
      <c r="EI11"/>
      <c r="EJ11"/>
      <c r="EK11"/>
      <c r="EL11"/>
      <c r="EM11"/>
      <c r="EN11"/>
      <c r="EO11"/>
      <c r="EP11"/>
      <c r="EQ11"/>
      <c r="ER11"/>
      <c r="ES11"/>
      <c r="ET11"/>
      <c r="EU11"/>
      <c r="EV11"/>
      <c r="EW11"/>
      <c r="EX11"/>
      <c r="EY11"/>
      <c r="EZ11"/>
      <c r="FA11"/>
      <c r="FB11"/>
      <c r="FC11"/>
      <c r="FD11"/>
      <c r="FE11"/>
      <c r="FF11"/>
      <c r="FG11"/>
      <c r="FH11"/>
      <c r="FI11"/>
      <c r="FJ11"/>
      <c r="FK11"/>
      <c r="FL11"/>
      <c r="FM11"/>
      <c r="FN11"/>
      <c r="FO11"/>
      <c r="FP11"/>
      <c r="FQ11"/>
      <c r="FR11"/>
      <c r="FS11"/>
      <c r="FT11"/>
      <c r="FU11"/>
      <c r="FV11"/>
      <c r="FW11"/>
      <c r="FX11"/>
      <c r="FY11"/>
      <c r="FZ11"/>
      <c r="GA11"/>
      <c r="GB11"/>
      <c r="GC11"/>
      <c r="GD11"/>
      <c r="GE11"/>
      <c r="GF11"/>
      <c r="GG11"/>
      <c r="GH11"/>
      <c r="GI11"/>
      <c r="GJ11"/>
      <c r="GK11"/>
      <c r="GL11"/>
      <c r="GM11"/>
      <c r="GN11"/>
      <c r="GO11"/>
      <c r="GP11"/>
      <c r="GQ11"/>
      <c r="GR11"/>
      <c r="GS11"/>
      <c r="GT11"/>
      <c r="GU11"/>
      <c r="GV11"/>
      <c r="GW11"/>
      <c r="GX11"/>
      <c r="GY11"/>
      <c r="GZ11"/>
      <c r="HA11"/>
      <c r="HB11"/>
      <c r="HC11"/>
      <c r="HD11"/>
      <c r="HE11"/>
      <c r="HF11"/>
      <c r="HG11"/>
      <c r="HH11"/>
      <c r="HI11"/>
      <c r="HJ11"/>
      <c r="HK11"/>
      <c r="HL11"/>
      <c r="HM11"/>
      <c r="HN11"/>
      <c r="HO11"/>
      <c r="HP11"/>
      <c r="HQ11"/>
      <c r="HR11"/>
      <c r="HS11"/>
      <c r="HT11"/>
      <c r="HU11"/>
      <c r="HV11"/>
      <c r="HW11"/>
      <c r="HX11"/>
      <c r="HY11"/>
      <c r="HZ11"/>
      <c r="IA11"/>
      <c r="IB11"/>
      <c r="IC11"/>
      <c r="ID11"/>
      <c r="IE11"/>
      <c r="IF11"/>
      <c r="IG11"/>
      <c r="IH11"/>
      <c r="II11"/>
      <c r="IJ11"/>
      <c r="IK11"/>
      <c r="IL11"/>
      <c r="IM11"/>
      <c r="IN11"/>
      <c r="IO11"/>
      <c r="IP11"/>
      <c r="IQ11"/>
      <c r="IR11"/>
      <c r="IS11"/>
      <c r="IT11"/>
      <c r="IU11"/>
      <c r="IV11"/>
      <c r="IW11">
        <v>15</v>
      </c>
    </row>
    <row r="12" spans="1:257" s="32" customFormat="1" ht="21.95" customHeight="1">
      <c r="A12" s="4"/>
      <c r="B12" s="43"/>
      <c r="C12" s="4"/>
      <c r="D12" s="16"/>
      <c r="E12" s="60"/>
      <c r="F12" s="60"/>
      <c r="G12" s="60"/>
      <c r="H12" s="60"/>
      <c r="I12" s="60"/>
      <c r="J12" s="60"/>
      <c r="K12" s="60"/>
      <c r="L12" s="60"/>
      <c r="M12" s="46"/>
      <c r="N12" s="46"/>
      <c r="O12" s="46"/>
      <c r="P12" s="46"/>
      <c r="Q12" s="46"/>
      <c r="R12" s="46"/>
      <c r="S12" s="78"/>
      <c r="T12" s="78"/>
      <c r="U12" s="78"/>
      <c r="V12" s="78"/>
      <c r="IW12" s="32">
        <v>21</v>
      </c>
    </row>
    <row r="13" spans="1:257" s="32" customFormat="1" ht="14.65" customHeight="1">
      <c r="A13" s="4"/>
      <c r="B13" s="43"/>
      <c r="C13" s="4"/>
      <c r="D13" s="16"/>
      <c r="E13" s="4"/>
      <c r="F13" s="4"/>
      <c r="G13" s="4"/>
      <c r="H13" s="4"/>
      <c r="I13" s="4"/>
      <c r="J13" s="4"/>
      <c r="K13" s="4"/>
      <c r="L13" s="4"/>
      <c r="M13" s="46"/>
      <c r="N13" s="46"/>
      <c r="O13" s="46"/>
      <c r="P13" s="46"/>
      <c r="Q13" s="46"/>
      <c r="R13" s="46"/>
      <c r="S13" s="78"/>
      <c r="T13" s="78"/>
      <c r="U13" s="78"/>
      <c r="V13" s="78"/>
      <c r="IW13" s="32">
        <v>14</v>
      </c>
    </row>
    <row r="14" spans="1:257" s="32" customFormat="1" ht="1.1499999999999999" customHeight="1">
      <c r="A14" s="4"/>
      <c r="B14" s="43"/>
      <c r="C14" s="4"/>
      <c r="D14" s="16"/>
      <c r="E14" s="4"/>
      <c r="F14" s="4"/>
      <c r="G14" s="4"/>
      <c r="H14" s="4"/>
      <c r="I14" s="4"/>
      <c r="J14" s="4"/>
      <c r="K14" s="4"/>
      <c r="L14" s="4"/>
      <c r="M14" s="46"/>
      <c r="N14" s="46"/>
      <c r="O14" s="46"/>
      <c r="P14" s="46"/>
      <c r="Q14" s="46"/>
      <c r="R14" s="46"/>
      <c r="S14" s="78"/>
      <c r="T14" s="78"/>
      <c r="U14" s="78"/>
      <c r="V14" s="78"/>
      <c r="IW14" s="32">
        <v>1</v>
      </c>
    </row>
    <row r="15" spans="1:257" ht="22.5" hidden="1" customHeight="1">
      <c r="A15" s="4" t="s">
        <v>82</v>
      </c>
      <c r="B15" s="43">
        <v>0</v>
      </c>
      <c r="C15" s="4">
        <v>0</v>
      </c>
      <c r="D15" s="16">
        <v>3</v>
      </c>
      <c r="E15" s="4">
        <v>6</v>
      </c>
      <c r="F15" s="4">
        <v>27</v>
      </c>
      <c r="G15" s="4">
        <v>16</v>
      </c>
      <c r="H15" s="4">
        <v>12</v>
      </c>
      <c r="I15" s="4">
        <v>32</v>
      </c>
      <c r="J15" s="4">
        <v>41</v>
      </c>
      <c r="K15" s="4">
        <v>41</v>
      </c>
      <c r="L15" s="4">
        <v>89</v>
      </c>
      <c r="M15" s="46">
        <v>3</v>
      </c>
      <c r="N15" s="46">
        <v>8</v>
      </c>
      <c r="O15" s="46">
        <v>8</v>
      </c>
      <c r="P15" s="46">
        <v>8</v>
      </c>
      <c r="Q15" s="46">
        <v>25</v>
      </c>
      <c r="R15" s="46">
        <v>14</v>
      </c>
      <c r="S15" s="78">
        <v>8</v>
      </c>
      <c r="T15" s="78">
        <v>8</v>
      </c>
      <c r="U15" s="78">
        <v>8</v>
      </c>
      <c r="V15" s="78">
        <v>8</v>
      </c>
      <c r="W15" s="4">
        <v>8</v>
      </c>
      <c r="X15" s="4">
        <v>8</v>
      </c>
      <c r="Y15" s="4">
        <v>8</v>
      </c>
      <c r="Z15" s="4">
        <v>8</v>
      </c>
      <c r="AA15" s="4">
        <v>8</v>
      </c>
      <c r="AB15" s="4">
        <v>8</v>
      </c>
      <c r="AC15" s="4">
        <v>8</v>
      </c>
      <c r="AD15" s="4">
        <v>8</v>
      </c>
      <c r="AE15" s="4">
        <v>8</v>
      </c>
      <c r="AF15" s="4">
        <v>8</v>
      </c>
      <c r="AG15" s="4">
        <v>8</v>
      </c>
      <c r="AH15" s="4">
        <v>8</v>
      </c>
      <c r="AI15" s="4">
        <v>8</v>
      </c>
      <c r="AJ15" s="4">
        <v>8</v>
      </c>
      <c r="AK15" s="4">
        <v>8</v>
      </c>
      <c r="AL15" s="4">
        <v>8</v>
      </c>
      <c r="AM15" s="4">
        <v>8</v>
      </c>
      <c r="AN15" s="4">
        <v>8</v>
      </c>
      <c r="AO15" s="4">
        <v>8</v>
      </c>
      <c r="AP15" s="4">
        <v>8</v>
      </c>
      <c r="AQ15" s="4">
        <v>8</v>
      </c>
      <c r="AR15" s="4">
        <v>8</v>
      </c>
      <c r="AS15" s="4">
        <v>8</v>
      </c>
      <c r="AT15" s="4">
        <v>8</v>
      </c>
      <c r="AU15" s="4">
        <v>8</v>
      </c>
      <c r="AV15" s="4">
        <v>8</v>
      </c>
      <c r="AW15" s="4">
        <v>8</v>
      </c>
      <c r="AX15" s="4">
        <v>8</v>
      </c>
      <c r="AY15" s="4">
        <v>8</v>
      </c>
      <c r="AZ15" s="4">
        <v>8</v>
      </c>
      <c r="BA15" s="4">
        <v>8</v>
      </c>
      <c r="BB15" s="4">
        <v>8</v>
      </c>
      <c r="BC15" s="4">
        <v>8</v>
      </c>
      <c r="BD15" s="4">
        <v>8</v>
      </c>
      <c r="BE15" s="4">
        <v>8</v>
      </c>
      <c r="BF15" s="4">
        <v>8</v>
      </c>
      <c r="BG15" s="4">
        <v>8</v>
      </c>
      <c r="BH15" s="4">
        <v>8</v>
      </c>
      <c r="BI15" s="4">
        <v>8</v>
      </c>
      <c r="BJ15" s="4">
        <v>8</v>
      </c>
      <c r="BK15" s="4">
        <v>8</v>
      </c>
      <c r="BL15" s="4">
        <v>8</v>
      </c>
      <c r="BM15" s="4">
        <v>8</v>
      </c>
      <c r="BN15" s="4">
        <v>8</v>
      </c>
      <c r="BO15" s="4">
        <v>8</v>
      </c>
      <c r="BP15" s="4">
        <v>8</v>
      </c>
      <c r="BQ15" s="4">
        <v>8</v>
      </c>
      <c r="BR15" s="4">
        <v>8</v>
      </c>
      <c r="BS15" s="4">
        <v>8</v>
      </c>
      <c r="BT15" s="4">
        <v>8</v>
      </c>
      <c r="BU15" s="4">
        <v>8</v>
      </c>
      <c r="BV15" s="4">
        <v>8</v>
      </c>
      <c r="BW15" s="4">
        <v>8</v>
      </c>
      <c r="BX15" s="4">
        <v>8</v>
      </c>
      <c r="BY15" s="4">
        <v>8</v>
      </c>
      <c r="BZ15" s="4">
        <v>8</v>
      </c>
      <c r="CA15" s="4">
        <v>8</v>
      </c>
      <c r="CB15" s="4">
        <v>8</v>
      </c>
      <c r="CC15" s="4">
        <v>8</v>
      </c>
      <c r="CD15" s="4">
        <v>8</v>
      </c>
      <c r="CE15" s="4">
        <v>8</v>
      </c>
      <c r="CF15" s="4">
        <v>8</v>
      </c>
      <c r="CG15" s="4">
        <v>8</v>
      </c>
      <c r="CH15" s="4">
        <v>8</v>
      </c>
      <c r="CI15" s="4">
        <v>8</v>
      </c>
      <c r="CJ15" s="4">
        <v>8</v>
      </c>
      <c r="CK15" s="4">
        <v>8</v>
      </c>
      <c r="CL15" s="4">
        <v>8</v>
      </c>
      <c r="CM15" s="4">
        <v>8</v>
      </c>
      <c r="CN15" s="4">
        <v>8</v>
      </c>
      <c r="CO15" s="4">
        <v>8</v>
      </c>
      <c r="CP15" s="4">
        <v>8</v>
      </c>
      <c r="CQ15" s="4">
        <v>8</v>
      </c>
      <c r="CR15" s="4">
        <v>8</v>
      </c>
      <c r="CS15" s="4">
        <v>8</v>
      </c>
      <c r="CT15" s="4">
        <v>8</v>
      </c>
      <c r="CU15" s="4">
        <v>8</v>
      </c>
      <c r="CV15" s="4">
        <v>8</v>
      </c>
      <c r="CW15" s="4">
        <v>8</v>
      </c>
      <c r="CX15" s="4">
        <v>8</v>
      </c>
      <c r="CY15" s="4">
        <v>8</v>
      </c>
      <c r="CZ15" s="4">
        <v>8</v>
      </c>
      <c r="DA15" s="4">
        <v>8</v>
      </c>
      <c r="DB15" s="4">
        <v>8</v>
      </c>
      <c r="DC15" s="4">
        <v>8</v>
      </c>
      <c r="DD15" s="4">
        <v>8</v>
      </c>
      <c r="DE15" s="4">
        <v>8</v>
      </c>
      <c r="DF15" s="4">
        <v>8</v>
      </c>
      <c r="DG15" s="4">
        <v>8</v>
      </c>
      <c r="DH15" s="4">
        <v>8</v>
      </c>
      <c r="DI15" s="4">
        <v>8</v>
      </c>
      <c r="DJ15" s="4">
        <v>8</v>
      </c>
      <c r="DK15" s="4">
        <v>8</v>
      </c>
      <c r="DL15" s="4">
        <v>8</v>
      </c>
      <c r="DM15" s="4">
        <v>8</v>
      </c>
      <c r="DN15" s="4">
        <v>8</v>
      </c>
      <c r="DO15" s="4">
        <v>8</v>
      </c>
      <c r="DP15" s="4">
        <v>8</v>
      </c>
      <c r="DQ15" s="4">
        <v>8</v>
      </c>
      <c r="DR15" s="4">
        <v>8</v>
      </c>
      <c r="DS15" s="4">
        <v>8</v>
      </c>
      <c r="DT15" s="4">
        <v>8</v>
      </c>
      <c r="DU15" s="4">
        <v>8</v>
      </c>
      <c r="DV15" s="4">
        <v>8</v>
      </c>
      <c r="DW15" s="4">
        <v>8</v>
      </c>
      <c r="DX15" s="4">
        <v>8</v>
      </c>
      <c r="DY15" s="4">
        <v>8</v>
      </c>
      <c r="DZ15" s="4">
        <v>8</v>
      </c>
      <c r="EA15" s="4">
        <v>8</v>
      </c>
      <c r="EB15" s="4">
        <v>8</v>
      </c>
      <c r="EC15" s="4">
        <v>8</v>
      </c>
      <c r="ED15" s="4">
        <v>8</v>
      </c>
      <c r="EE15" s="4">
        <v>8</v>
      </c>
      <c r="EF15" s="4">
        <v>8</v>
      </c>
      <c r="EG15" s="4">
        <v>8</v>
      </c>
      <c r="EH15" s="4">
        <v>8</v>
      </c>
      <c r="EI15" s="4">
        <v>8</v>
      </c>
      <c r="EJ15" s="4">
        <v>8</v>
      </c>
      <c r="EK15" s="4">
        <v>8</v>
      </c>
      <c r="EL15" s="4">
        <v>8</v>
      </c>
      <c r="EM15" s="4">
        <v>8</v>
      </c>
      <c r="EN15" s="4">
        <v>8</v>
      </c>
      <c r="EO15" s="4">
        <v>8</v>
      </c>
      <c r="EP15" s="4">
        <v>8</v>
      </c>
      <c r="EQ15" s="4">
        <v>8</v>
      </c>
      <c r="ER15" s="4">
        <v>8</v>
      </c>
      <c r="ES15" s="4">
        <v>8</v>
      </c>
      <c r="ET15" s="4">
        <v>8</v>
      </c>
      <c r="EU15" s="4">
        <v>8</v>
      </c>
      <c r="EV15" s="4">
        <v>8</v>
      </c>
      <c r="EW15" s="4">
        <v>8</v>
      </c>
      <c r="EX15" s="4">
        <v>8</v>
      </c>
      <c r="EY15" s="4">
        <v>8</v>
      </c>
      <c r="EZ15" s="4">
        <v>8</v>
      </c>
      <c r="FA15" s="4">
        <v>8</v>
      </c>
      <c r="FB15" s="4">
        <v>8</v>
      </c>
      <c r="FC15" s="4">
        <v>8</v>
      </c>
      <c r="FD15" s="4">
        <v>8</v>
      </c>
      <c r="FE15" s="4">
        <v>8</v>
      </c>
      <c r="FF15" s="4">
        <v>8</v>
      </c>
      <c r="FG15" s="4">
        <v>8</v>
      </c>
      <c r="FH15" s="4">
        <v>8</v>
      </c>
      <c r="FI15" s="4">
        <v>8</v>
      </c>
      <c r="FJ15" s="4">
        <v>8</v>
      </c>
      <c r="FK15" s="4">
        <v>8</v>
      </c>
      <c r="FL15" s="4">
        <v>8</v>
      </c>
      <c r="FM15" s="4">
        <v>8</v>
      </c>
      <c r="FN15" s="4">
        <v>8</v>
      </c>
      <c r="FO15" s="4">
        <v>8</v>
      </c>
      <c r="FP15" s="4">
        <v>8</v>
      </c>
      <c r="FQ15" s="4">
        <v>8</v>
      </c>
      <c r="FR15" s="4">
        <v>8</v>
      </c>
      <c r="FS15" s="4">
        <v>8</v>
      </c>
      <c r="FT15" s="4">
        <v>8</v>
      </c>
      <c r="FU15" s="4">
        <v>8</v>
      </c>
      <c r="FV15" s="4">
        <v>8</v>
      </c>
      <c r="FW15" s="4">
        <v>8</v>
      </c>
      <c r="FX15" s="4">
        <v>8</v>
      </c>
      <c r="FY15" s="4">
        <v>8</v>
      </c>
      <c r="FZ15" s="4">
        <v>8</v>
      </c>
      <c r="GA15" s="4">
        <v>8</v>
      </c>
      <c r="GB15" s="4">
        <v>8</v>
      </c>
      <c r="GC15" s="4">
        <v>8</v>
      </c>
      <c r="GD15" s="4">
        <v>8</v>
      </c>
      <c r="GE15" s="4">
        <v>8</v>
      </c>
      <c r="GF15" s="4">
        <v>8</v>
      </c>
      <c r="GG15" s="4">
        <v>8</v>
      </c>
      <c r="GH15" s="4">
        <v>8</v>
      </c>
      <c r="GI15" s="4">
        <v>8</v>
      </c>
      <c r="GJ15" s="4">
        <v>8</v>
      </c>
      <c r="GK15" s="4">
        <v>8</v>
      </c>
      <c r="GL15" s="4">
        <v>8</v>
      </c>
      <c r="GM15" s="4">
        <v>8</v>
      </c>
      <c r="GN15" s="4">
        <v>8</v>
      </c>
      <c r="GO15" s="4">
        <v>8</v>
      </c>
      <c r="GP15" s="4">
        <v>8</v>
      </c>
      <c r="GQ15" s="4">
        <v>8</v>
      </c>
      <c r="GR15" s="4">
        <v>8</v>
      </c>
      <c r="GS15" s="4">
        <v>8</v>
      </c>
      <c r="GT15" s="4">
        <v>8</v>
      </c>
      <c r="GU15" s="4">
        <v>8</v>
      </c>
      <c r="GV15" s="4">
        <v>8</v>
      </c>
      <c r="GW15" s="4">
        <v>8</v>
      </c>
      <c r="GX15" s="4">
        <v>8</v>
      </c>
      <c r="GY15" s="4">
        <v>8</v>
      </c>
      <c r="GZ15" s="4">
        <v>8</v>
      </c>
      <c r="HA15" s="4">
        <v>8</v>
      </c>
      <c r="HB15" s="4">
        <v>8</v>
      </c>
      <c r="HC15" s="4">
        <v>8</v>
      </c>
      <c r="HD15" s="4">
        <v>8</v>
      </c>
      <c r="HE15" s="4">
        <v>8</v>
      </c>
      <c r="HF15" s="4">
        <v>8</v>
      </c>
      <c r="HG15" s="4">
        <v>8</v>
      </c>
      <c r="HH15" s="4">
        <v>8</v>
      </c>
      <c r="HI15" s="4">
        <v>8</v>
      </c>
      <c r="HJ15" s="4">
        <v>8</v>
      </c>
      <c r="HK15" s="4">
        <v>8</v>
      </c>
      <c r="HL15" s="4">
        <v>8</v>
      </c>
      <c r="HM15" s="4">
        <v>8</v>
      </c>
      <c r="HN15" s="4">
        <v>8</v>
      </c>
      <c r="HO15" s="4">
        <v>8</v>
      </c>
      <c r="HP15" s="4">
        <v>8</v>
      </c>
      <c r="HQ15" s="4">
        <v>8</v>
      </c>
      <c r="HR15" s="4">
        <v>8</v>
      </c>
      <c r="HS15" s="4">
        <v>8</v>
      </c>
      <c r="HT15" s="4">
        <v>8</v>
      </c>
      <c r="HU15" s="4">
        <v>8</v>
      </c>
      <c r="HV15" s="4">
        <v>8</v>
      </c>
      <c r="HW15" s="4">
        <v>8</v>
      </c>
      <c r="HX15" s="4">
        <v>8</v>
      </c>
      <c r="HY15" s="4">
        <v>8</v>
      </c>
      <c r="HZ15" s="4">
        <v>8</v>
      </c>
      <c r="IA15" s="4">
        <v>8</v>
      </c>
      <c r="IB15" s="4">
        <v>8</v>
      </c>
      <c r="IC15" s="4">
        <v>8</v>
      </c>
      <c r="ID15" s="4">
        <v>8</v>
      </c>
      <c r="IE15" s="4">
        <v>8</v>
      </c>
      <c r="IF15" s="4">
        <v>8</v>
      </c>
      <c r="IG15" s="4">
        <v>8</v>
      </c>
      <c r="IH15" s="4">
        <v>8</v>
      </c>
      <c r="II15" s="4">
        <v>8</v>
      </c>
      <c r="IJ15" s="4">
        <v>8</v>
      </c>
      <c r="IK15" s="4">
        <v>8</v>
      </c>
      <c r="IL15" s="4">
        <v>8</v>
      </c>
      <c r="IM15" s="4">
        <v>8</v>
      </c>
      <c r="IN15" s="4">
        <v>8</v>
      </c>
      <c r="IO15" s="4">
        <v>8</v>
      </c>
      <c r="IP15" s="4">
        <v>8</v>
      </c>
      <c r="IQ15" s="4">
        <v>8</v>
      </c>
      <c r="IR15" s="4">
        <v>8</v>
      </c>
      <c r="IS15" s="4">
        <v>8</v>
      </c>
      <c r="IT15" s="4">
        <v>8</v>
      </c>
      <c r="IU15" s="4">
        <v>8</v>
      </c>
      <c r="IV15" s="4">
        <v>8</v>
      </c>
      <c r="IW15" s="4">
        <v>23</v>
      </c>
    </row>
  </sheetData>
  <sheetProtection insertRows="0" deleteColumns="0" deleteRows="0" sort="0" autoFilter="0"/>
  <mergeCells count="10">
    <mergeCell ref="A10:A11"/>
    <mergeCell ref="L10:L11"/>
    <mergeCell ref="E5:K5"/>
    <mergeCell ref="E7:K7"/>
    <mergeCell ref="L7:L9"/>
    <mergeCell ref="E8:E9"/>
    <mergeCell ref="F8:F9"/>
    <mergeCell ref="G8:I8"/>
    <mergeCell ref="J8:J9"/>
    <mergeCell ref="K8:K9"/>
  </mergeCells>
  <dataValidations count="5">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2:K3" xr:uid="{00000000-0002-0000-3600-00000000000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xr:uid="{00000000-0002-0000-3600-000001000000}"/>
    <dataValidation type="textLength" allowBlank="1" showInputMessage="1" showErrorMessage="1" sqref="H3:I3" xr:uid="{00000000-0002-0000-3600-000002000000}">
      <formula1>13</formula1>
      <formula2>15</formula2>
    </dataValidation>
    <dataValidation type="textLength" operator="lessThanOrEqual" allowBlank="1" showInputMessage="1" showErrorMessage="1" sqref="I2" xr:uid="{00000000-0002-0000-3600-000003000000}">
      <formula1>990</formula1>
    </dataValidation>
    <dataValidation type="time" allowBlank="1" showInputMessage="1" showErrorMessage="1" prompt="Укажите время в формате ЧЧ:ММ" sqref="H2" xr:uid="{00000000-0002-0000-3600-000004000000}">
      <formula1>0</formula1>
      <formula2>0.999305555555555</formula2>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516484-AD17-E475-D7E4-52A3B7D4D163}">
  <dimension ref="A1:Q19"/>
  <sheetViews>
    <sheetView showGridLines="0" zoomScale="90" workbookViewId="0">
      <pane xSplit="10" ySplit="12" topLeftCell="K13" activePane="bottomRight" state="frozen"/>
      <selection pane="topRight" activeCell="K1" sqref="K1"/>
      <selection pane="bottomLeft" activeCell="A13" sqref="A13"/>
      <selection pane="bottomRight"/>
    </sheetView>
  </sheetViews>
  <sheetFormatPr defaultColWidth="9.140625" defaultRowHeight="14.25" customHeight="1"/>
  <cols>
    <col min="1" max="1" width="9.140625" style="4" hidden="1"/>
    <col min="2" max="2" width="9.140625" style="43" hidden="1"/>
    <col min="3" max="3" width="3.7109375" style="4" hidden="1" customWidth="1"/>
    <col min="4" max="4" width="3" style="16" customWidth="1"/>
    <col min="5" max="5" width="6" style="4" customWidth="1"/>
    <col min="6" max="6" width="27" style="4" customWidth="1"/>
    <col min="7" max="7" width="29" style="4" customWidth="1"/>
    <col min="8" max="8" width="25" style="4" customWidth="1"/>
    <col min="9" max="9" width="5" style="4" customWidth="1"/>
    <col min="10" max="10" width="6" style="4" customWidth="1"/>
    <col min="11" max="11" width="41" style="4" customWidth="1"/>
    <col min="12" max="12" width="42" style="4" customWidth="1"/>
    <col min="13" max="13" width="41" style="4" customWidth="1"/>
    <col min="14" max="14" width="89" style="4" customWidth="1"/>
    <col min="15" max="15" width="3" style="46" customWidth="1"/>
    <col min="16" max="16" width="8" style="46" customWidth="1"/>
    <col min="17" max="17" width="9.140625" style="4" hidden="1"/>
  </cols>
  <sheetData>
    <row r="1" spans="1:17" ht="22.5" hidden="1" customHeight="1">
      <c r="Q1" s="4" t="s">
        <v>14</v>
      </c>
    </row>
    <row r="2" spans="1:17" ht="22.5" hidden="1" customHeight="1">
      <c r="A2" s="117"/>
      <c r="B2" s="43">
        <v>1</v>
      </c>
      <c r="C2" s="43"/>
      <c r="D2" s="606" t="s">
        <v>123</v>
      </c>
      <c r="E2" s="679">
        <v>1</v>
      </c>
      <c r="F2" s="741" t="str">
        <f>IF(region_name="","",region_name)</f>
        <v>Томская область</v>
      </c>
      <c r="G2" s="858"/>
      <c r="H2" s="737"/>
      <c r="I2" s="24"/>
      <c r="J2" s="217">
        <v>1</v>
      </c>
      <c r="K2" s="74"/>
      <c r="L2" s="74"/>
      <c r="M2" s="74"/>
      <c r="N2" s="153"/>
      <c r="O2" s="485"/>
      <c r="Q2">
        <v>0</v>
      </c>
    </row>
    <row r="3" spans="1:17" ht="22.5" hidden="1" customHeight="1">
      <c r="C3" s="43"/>
      <c r="D3" s="56"/>
      <c r="E3" s="679"/>
      <c r="F3" s="741"/>
      <c r="G3" s="858"/>
      <c r="H3" s="688"/>
      <c r="I3" s="91"/>
      <c r="J3" s="130"/>
      <c r="K3" s="130" t="s">
        <v>1883</v>
      </c>
      <c r="L3" s="492"/>
      <c r="M3" s="604"/>
      <c r="N3" s="597"/>
      <c r="O3" s="485"/>
      <c r="Q3">
        <v>0</v>
      </c>
    </row>
    <row r="4" spans="1:17" s="46" customFormat="1" ht="5.25" hidden="1" customHeight="1">
      <c r="A4" s="117"/>
      <c r="F4" s="46" t="s">
        <v>83</v>
      </c>
      <c r="G4" s="46" t="s">
        <v>84</v>
      </c>
      <c r="J4" s="342"/>
      <c r="O4" s="46" t="s">
        <v>83</v>
      </c>
      <c r="Q4" s="46">
        <v>0</v>
      </c>
    </row>
    <row r="5" spans="1:17" ht="22.5" hidden="1" customHeight="1">
      <c r="A5" s="117"/>
      <c r="B5" s="43">
        <v>1</v>
      </c>
      <c r="C5" s="43"/>
      <c r="D5" s="56"/>
      <c r="E5" s="597"/>
      <c r="F5" s="597"/>
      <c r="G5" s="597"/>
      <c r="H5" s="605"/>
      <c r="I5" s="607" t="s">
        <v>123</v>
      </c>
      <c r="J5" s="223">
        <v>1</v>
      </c>
      <c r="K5" s="74"/>
      <c r="L5" s="74"/>
      <c r="M5" s="74"/>
      <c r="N5" s="153"/>
      <c r="O5" s="485"/>
      <c r="Q5">
        <v>0</v>
      </c>
    </row>
    <row r="6" spans="1:17" s="32" customFormat="1" ht="14.65" customHeight="1">
      <c r="A6" s="4"/>
      <c r="B6" s="43"/>
      <c r="C6" s="4"/>
      <c r="D6" s="16"/>
      <c r="E6" s="4"/>
      <c r="F6" s="4"/>
      <c r="G6" s="4"/>
      <c r="H6" s="4"/>
      <c r="I6" s="4"/>
      <c r="J6" s="4"/>
      <c r="K6" s="4"/>
      <c r="L6" s="4"/>
      <c r="M6" s="4"/>
      <c r="N6" s="4"/>
      <c r="O6" s="46"/>
      <c r="P6" s="46"/>
      <c r="Q6" s="32">
        <v>14</v>
      </c>
    </row>
    <row r="7" spans="1:17" s="32" customFormat="1" ht="27.4" customHeight="1">
      <c r="A7" s="4"/>
      <c r="B7" s="43"/>
      <c r="C7" s="4"/>
      <c r="D7" s="16"/>
      <c r="E7" s="666"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5.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666"/>
      <c r="G7" s="666"/>
      <c r="H7" s="666"/>
      <c r="I7" s="666"/>
      <c r="J7" s="666"/>
      <c r="K7" s="666"/>
      <c r="L7" s="666"/>
      <c r="M7" s="666"/>
      <c r="N7" s="4"/>
      <c r="O7" s="46"/>
      <c r="P7" s="46"/>
      <c r="Q7" s="32">
        <v>26</v>
      </c>
    </row>
    <row r="8" spans="1:17" s="32" customFormat="1" ht="14.65" customHeight="1">
      <c r="A8" s="4"/>
      <c r="B8" s="43"/>
      <c r="C8" s="4"/>
      <c r="D8" s="16"/>
      <c r="E8" s="4"/>
      <c r="F8" s="51"/>
      <c r="G8" s="51"/>
      <c r="H8" s="51"/>
      <c r="I8" s="51"/>
      <c r="J8" s="51"/>
      <c r="K8" s="51"/>
      <c r="L8" s="51"/>
      <c r="M8" s="51"/>
      <c r="N8" s="51"/>
      <c r="O8" s="46"/>
      <c r="P8" s="46"/>
      <c r="Q8" s="32">
        <v>14</v>
      </c>
    </row>
    <row r="9" spans="1:17" s="32" customFormat="1" ht="14.25" hidden="1" customHeight="1">
      <c r="A9" s="4"/>
      <c r="B9" s="43"/>
      <c r="C9" s="4"/>
      <c r="D9" s="16"/>
      <c r="E9" s="598"/>
      <c r="F9" s="598"/>
      <c r="G9" s="598"/>
      <c r="H9" s="598"/>
      <c r="I9" s="856"/>
      <c r="J9" s="856"/>
      <c r="K9" s="856"/>
      <c r="L9" s="598"/>
      <c r="M9" s="599"/>
      <c r="O9" s="46"/>
      <c r="P9" s="46"/>
      <c r="Q9" s="32">
        <v>0</v>
      </c>
    </row>
    <row r="10" spans="1:17" s="32" customFormat="1" ht="14.65" customHeight="1">
      <c r="A10" s="4"/>
      <c r="B10" s="43"/>
      <c r="C10" s="4"/>
      <c r="D10" s="16"/>
      <c r="E10" s="679" t="s">
        <v>303</v>
      </c>
      <c r="F10" s="679"/>
      <c r="G10" s="679"/>
      <c r="H10" s="679"/>
      <c r="I10" s="679"/>
      <c r="J10" s="679"/>
      <c r="K10" s="679"/>
      <c r="L10" s="679"/>
      <c r="M10" s="662"/>
      <c r="N10" s="848" t="s">
        <v>304</v>
      </c>
      <c r="O10" s="46"/>
      <c r="P10" s="46"/>
      <c r="Q10" s="32">
        <v>14</v>
      </c>
    </row>
    <row r="11" spans="1:17" s="32" customFormat="1" ht="44.25" customHeight="1">
      <c r="A11" s="4"/>
      <c r="B11" s="43"/>
      <c r="C11" s="4"/>
      <c r="D11" s="16"/>
      <c r="E11" s="855" t="s">
        <v>88</v>
      </c>
      <c r="F11" s="855" t="s">
        <v>307</v>
      </c>
      <c r="G11" s="855" t="s">
        <v>1884</v>
      </c>
      <c r="H11" s="855"/>
      <c r="I11" s="855" t="s">
        <v>1885</v>
      </c>
      <c r="J11" s="855"/>
      <c r="K11" s="855"/>
      <c r="L11" s="855" t="s">
        <v>1886</v>
      </c>
      <c r="M11" s="850" t="s">
        <v>1887</v>
      </c>
      <c r="N11" s="854"/>
      <c r="O11" s="46"/>
      <c r="P11" s="46"/>
      <c r="Q11" s="32">
        <v>42</v>
      </c>
    </row>
    <row r="12" spans="1:17" s="32" customFormat="1" ht="29.25" customHeight="1">
      <c r="A12" s="4"/>
      <c r="B12" s="43"/>
      <c r="C12" s="4"/>
      <c r="D12" s="16"/>
      <c r="E12" s="848"/>
      <c r="F12" s="855"/>
      <c r="G12" s="52" t="s">
        <v>1888</v>
      </c>
      <c r="H12" s="52" t="s">
        <v>311</v>
      </c>
      <c r="I12" s="855"/>
      <c r="J12" s="855"/>
      <c r="K12" s="855"/>
      <c r="L12" s="855"/>
      <c r="M12" s="850"/>
      <c r="N12" s="849"/>
      <c r="O12" s="46"/>
      <c r="P12" s="46"/>
      <c r="Q12" s="32">
        <v>28</v>
      </c>
    </row>
    <row r="13" spans="1:17" ht="23.25" customHeight="1">
      <c r="A13" s="665">
        <v>26379339</v>
      </c>
      <c r="B13" s="43">
        <v>1</v>
      </c>
      <c r="C13" s="43"/>
      <c r="D13" s="56"/>
      <c r="E13" s="679">
        <v>1</v>
      </c>
      <c r="F13" s="859" t="str">
        <f>IF(region_name="","",region_name)</f>
        <v>Томская область</v>
      </c>
      <c r="G13" s="860"/>
      <c r="H13" s="857"/>
      <c r="I13" s="24"/>
      <c r="J13" s="101">
        <v>1</v>
      </c>
      <c r="K13" s="602"/>
      <c r="L13" s="603"/>
      <c r="M13" s="603"/>
      <c r="N13" s="679" t="s">
        <v>1889</v>
      </c>
      <c r="O13" s="485"/>
      <c r="Q13">
        <v>22</v>
      </c>
    </row>
    <row r="14" spans="1:17" ht="23.25" customHeight="1">
      <c r="A14" s="665"/>
      <c r="C14" s="43"/>
      <c r="D14" s="56"/>
      <c r="E14" s="679"/>
      <c r="F14" s="859"/>
      <c r="G14" s="860"/>
      <c r="H14" s="687"/>
      <c r="I14" s="91"/>
      <c r="J14" s="130"/>
      <c r="K14" s="130" t="s">
        <v>1883</v>
      </c>
      <c r="L14" s="492"/>
      <c r="M14" s="492"/>
      <c r="N14" s="853"/>
      <c r="O14" s="485"/>
      <c r="Q14">
        <v>22</v>
      </c>
    </row>
    <row r="15" spans="1:17" ht="23.25" customHeight="1">
      <c r="A15" s="665"/>
      <c r="C15" s="22"/>
      <c r="D15" s="56"/>
      <c r="E15" s="91"/>
      <c r="F15" s="130" t="s">
        <v>1875</v>
      </c>
      <c r="G15" s="491"/>
      <c r="H15" s="491"/>
      <c r="I15" s="54"/>
      <c r="J15" s="54"/>
      <c r="K15" s="54"/>
      <c r="L15" s="54"/>
      <c r="M15" s="54"/>
      <c r="N15" s="853"/>
      <c r="O15" s="485"/>
      <c r="Q15">
        <v>22</v>
      </c>
    </row>
    <row r="16" spans="1:17" s="32" customFormat="1" ht="21.95" customHeight="1">
      <c r="A16" s="4"/>
      <c r="B16" s="43"/>
      <c r="C16" s="4"/>
      <c r="D16" s="16"/>
      <c r="E16" s="60"/>
      <c r="F16" s="60"/>
      <c r="G16" s="60"/>
      <c r="H16" s="60"/>
      <c r="I16" s="60"/>
      <c r="J16" s="60"/>
      <c r="K16" s="60"/>
      <c r="L16" s="60"/>
      <c r="M16" s="4"/>
      <c r="N16" s="4"/>
      <c r="O16" s="46"/>
      <c r="P16" s="46"/>
      <c r="Q16" s="32">
        <v>21</v>
      </c>
    </row>
    <row r="17" spans="1:17" s="32" customFormat="1" ht="14.65" customHeight="1">
      <c r="A17" s="4"/>
      <c r="B17" s="43"/>
      <c r="C17" s="4"/>
      <c r="D17" s="16"/>
      <c r="E17" s="4"/>
      <c r="F17" s="4"/>
      <c r="G17" s="4"/>
      <c r="H17" s="4"/>
      <c r="I17" s="4"/>
      <c r="J17" s="4"/>
      <c r="K17" s="4"/>
      <c r="L17" s="4"/>
      <c r="M17" s="4"/>
      <c r="N17" s="4"/>
      <c r="O17" s="46"/>
      <c r="P17" s="46"/>
      <c r="Q17" s="32">
        <v>14</v>
      </c>
    </row>
    <row r="18" spans="1:17" s="32" customFormat="1" ht="1.1499999999999999" customHeight="1">
      <c r="A18" s="4"/>
      <c r="B18" s="43"/>
      <c r="C18" s="4"/>
      <c r="D18" s="16"/>
      <c r="E18" s="4"/>
      <c r="F18" s="4"/>
      <c r="G18" s="4"/>
      <c r="H18" s="4"/>
      <c r="I18" s="4"/>
      <c r="J18" s="4"/>
      <c r="K18" s="4"/>
      <c r="L18" s="4"/>
      <c r="M18" s="4"/>
      <c r="N18" s="4"/>
      <c r="O18" s="46"/>
      <c r="P18" s="46"/>
      <c r="Q18" s="32">
        <v>1</v>
      </c>
    </row>
    <row r="19" spans="1:17" ht="22.5" hidden="1" customHeight="1">
      <c r="A19" s="4" t="s">
        <v>82</v>
      </c>
      <c r="B19" s="43">
        <v>0</v>
      </c>
      <c r="C19" s="4">
        <v>0</v>
      </c>
      <c r="D19" s="16">
        <v>3</v>
      </c>
      <c r="E19" s="4">
        <v>6</v>
      </c>
      <c r="F19" s="4">
        <v>27</v>
      </c>
      <c r="G19" s="4">
        <v>29</v>
      </c>
      <c r="H19" s="4">
        <v>25</v>
      </c>
      <c r="I19" s="4">
        <v>5</v>
      </c>
      <c r="J19" s="4">
        <v>6</v>
      </c>
      <c r="K19" s="4">
        <v>41</v>
      </c>
      <c r="L19" s="4">
        <v>42</v>
      </c>
      <c r="M19" s="4">
        <v>41</v>
      </c>
      <c r="N19" s="4">
        <v>89</v>
      </c>
      <c r="O19" s="46">
        <v>3</v>
      </c>
      <c r="P19" s="46">
        <v>8</v>
      </c>
      <c r="Q19" s="4">
        <v>23</v>
      </c>
    </row>
  </sheetData>
  <sheetProtection formatColumns="0" formatRows="0" insertRows="0" deleteColumns="0" deleteRows="0" sort="0" autoFilter="0"/>
  <mergeCells count="20">
    <mergeCell ref="E2:E3"/>
    <mergeCell ref="F2:F3"/>
    <mergeCell ref="G2:G3"/>
    <mergeCell ref="H2:H3"/>
    <mergeCell ref="A13:A15"/>
    <mergeCell ref="F13:F14"/>
    <mergeCell ref="G13:G14"/>
    <mergeCell ref="E13:E14"/>
    <mergeCell ref="N13:N15"/>
    <mergeCell ref="E10:M10"/>
    <mergeCell ref="E7:M7"/>
    <mergeCell ref="N10:N12"/>
    <mergeCell ref="I11:K12"/>
    <mergeCell ref="L11:L12"/>
    <mergeCell ref="M11:M12"/>
    <mergeCell ref="E11:E12"/>
    <mergeCell ref="F11:F12"/>
    <mergeCell ref="I9:K9"/>
    <mergeCell ref="H13:H14"/>
    <mergeCell ref="G11:H11"/>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 sqref="M4" xr:uid="{00000000-0002-0000-3700-000000000000}">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4" xr:uid="{00000000-0002-0000-3700-000001000000}">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B457B4-7328-7235-B7CF-4E91B09B3D8E}">
  <sheetPr>
    <tabColor rgb="FFEAEBEE"/>
    <pageSetUpPr fitToPage="1"/>
  </sheetPr>
  <dimension ref="A1:M16"/>
  <sheetViews>
    <sheetView showGridLines="0" zoomScale="90" workbookViewId="0">
      <pane xSplit="4" ySplit="11" topLeftCell="E12" activePane="bottomRight" state="frozen"/>
      <selection pane="topRight" activeCell="E1" sqref="E1"/>
      <selection pane="bottomLeft" activeCell="A12" sqref="A12"/>
      <selection pane="bottomRight"/>
    </sheetView>
  </sheetViews>
  <sheetFormatPr defaultColWidth="9.140625" defaultRowHeight="14.25" customHeight="1"/>
  <cols>
    <col min="1" max="1" width="9.140625" style="7" hidden="1"/>
    <col min="2" max="2" width="9.140625" style="4" hidden="1"/>
    <col min="3" max="3" width="3" style="33" customWidth="1"/>
    <col min="4" max="4" width="6" style="4" customWidth="1"/>
    <col min="5" max="5" width="22" style="4" customWidth="1"/>
    <col min="6" max="6" width="15" style="4" customWidth="1"/>
    <col min="7" max="7" width="14" style="4" customWidth="1"/>
    <col min="8" max="8" width="47" style="4" customWidth="1"/>
    <col min="9" max="9" width="115" style="4" customWidth="1"/>
    <col min="10" max="10" width="3" style="4" customWidth="1"/>
    <col min="11" max="12" width="8" style="4" customWidth="1"/>
    <col min="13" max="13" width="9.140625" style="4" hidden="1"/>
  </cols>
  <sheetData>
    <row r="1" spans="1:13" ht="14.25" hidden="1" customHeight="1">
      <c r="M1" s="4" t="s">
        <v>14</v>
      </c>
    </row>
    <row r="2" spans="1:13" ht="14.25" hidden="1" customHeight="1">
      <c r="M2" s="4">
        <v>0</v>
      </c>
    </row>
    <row r="3" spans="1:13" ht="14.25" hidden="1" customHeight="1">
      <c r="M3" s="4">
        <v>0</v>
      </c>
    </row>
    <row r="4" spans="1:13" ht="3" customHeight="1">
      <c r="M4" s="4">
        <v>3</v>
      </c>
    </row>
    <row r="5" spans="1:13" s="4" customFormat="1" ht="31.5" customHeight="1">
      <c r="A5" s="7"/>
      <c r="C5" s="15"/>
      <c r="D5" s="666" t="s">
        <v>1890</v>
      </c>
      <c r="E5" s="666"/>
      <c r="F5" s="666"/>
      <c r="G5" s="666"/>
      <c r="H5" s="666"/>
      <c r="I5" s="92"/>
      <c r="M5" s="4">
        <v>30</v>
      </c>
    </row>
    <row r="6" spans="1:13" ht="3" hidden="1" customHeight="1">
      <c r="D6" s="6"/>
      <c r="E6" s="6"/>
      <c r="F6" s="6"/>
      <c r="G6" s="6"/>
      <c r="H6" s="6"/>
      <c r="I6" s="6"/>
      <c r="M6" s="4">
        <v>0</v>
      </c>
    </row>
    <row r="7" spans="1:13" s="7" customFormat="1" ht="14.65" customHeight="1">
      <c r="B7" s="4"/>
      <c r="C7" s="33"/>
      <c r="D7" s="34"/>
      <c r="E7" s="34"/>
      <c r="F7" s="34"/>
      <c r="G7" s="34"/>
      <c r="H7" s="247"/>
      <c r="I7" s="34"/>
      <c r="J7" s="35"/>
      <c r="M7" s="7">
        <v>14</v>
      </c>
    </row>
    <row r="8" spans="1:13" ht="14.65" customHeight="1">
      <c r="D8" s="722" t="s">
        <v>303</v>
      </c>
      <c r="E8" s="722"/>
      <c r="F8" s="722"/>
      <c r="G8" s="722"/>
      <c r="H8" s="722"/>
      <c r="I8" s="722" t="s">
        <v>304</v>
      </c>
      <c r="M8" s="4">
        <v>14</v>
      </c>
    </row>
    <row r="9" spans="1:13" ht="29.25" customHeight="1">
      <c r="D9" s="722" t="s">
        <v>88</v>
      </c>
      <c r="E9" s="722" t="s">
        <v>1891</v>
      </c>
      <c r="F9" s="722"/>
      <c r="G9" s="722"/>
      <c r="H9" s="722"/>
      <c r="I9" s="722"/>
      <c r="M9" s="4">
        <v>28</v>
      </c>
    </row>
    <row r="10" spans="1:13" ht="24" customHeight="1">
      <c r="D10" s="722"/>
      <c r="E10" s="24" t="s">
        <v>1892</v>
      </c>
      <c r="F10" s="24" t="s">
        <v>1893</v>
      </c>
      <c r="G10" s="24" t="s">
        <v>1894</v>
      </c>
      <c r="H10" s="24" t="s">
        <v>393</v>
      </c>
      <c r="I10" s="722"/>
      <c r="M10" s="4">
        <v>23</v>
      </c>
    </row>
    <row r="11" spans="1:13" ht="12" hidden="1" customHeight="1">
      <c r="D11" s="14" t="s">
        <v>110</v>
      </c>
      <c r="E11" s="14" t="s">
        <v>91</v>
      </c>
      <c r="F11" s="14" t="s">
        <v>112</v>
      </c>
      <c r="G11" s="14" t="s">
        <v>92</v>
      </c>
      <c r="H11" s="14" t="s">
        <v>93</v>
      </c>
      <c r="I11" s="14" t="s">
        <v>113</v>
      </c>
      <c r="M11" s="4">
        <v>0</v>
      </c>
    </row>
    <row r="12" spans="1:13" s="4" customFormat="1" ht="26.25" customHeight="1">
      <c r="A12" s="43" t="s">
        <v>90</v>
      </c>
      <c r="B12" s="4" t="s">
        <v>22</v>
      </c>
      <c r="C12" s="33"/>
      <c r="D12" s="31" t="s">
        <v>110</v>
      </c>
      <c r="E12" s="74"/>
      <c r="F12" s="74"/>
      <c r="G12" s="544" t="s">
        <v>22</v>
      </c>
      <c r="H12" s="72"/>
      <c r="I12" s="673" t="s">
        <v>1895</v>
      </c>
      <c r="K12" s="46"/>
      <c r="L12" s="46"/>
      <c r="M12" s="4">
        <v>25</v>
      </c>
    </row>
    <row r="13" spans="1:13" ht="15.75" customHeight="1">
      <c r="A13" s="4"/>
      <c r="C13" s="4"/>
      <c r="D13" s="28"/>
      <c r="E13" s="37" t="s">
        <v>471</v>
      </c>
      <c r="F13" s="36"/>
      <c r="G13" s="36"/>
      <c r="H13" s="68"/>
      <c r="I13" s="676"/>
      <c r="M13" s="4">
        <v>15</v>
      </c>
    </row>
    <row r="14" spans="1:13" ht="3" customHeight="1">
      <c r="A14" s="4"/>
      <c r="C14" s="4"/>
      <c r="M14" s="4">
        <v>3</v>
      </c>
    </row>
    <row r="15" spans="1:13" ht="29.25" customHeight="1">
      <c r="E15" s="665" t="s">
        <v>1896</v>
      </c>
      <c r="F15" s="665"/>
      <c r="G15" s="665"/>
      <c r="H15" s="665"/>
      <c r="M15" s="4">
        <v>28</v>
      </c>
    </row>
    <row r="16" spans="1:13" ht="14.25" hidden="1" customHeight="1">
      <c r="A16" s="7" t="s">
        <v>82</v>
      </c>
      <c r="B16" s="4">
        <v>0</v>
      </c>
      <c r="C16" s="33">
        <v>3</v>
      </c>
      <c r="D16" s="4">
        <v>6</v>
      </c>
      <c r="E16" s="4">
        <v>22</v>
      </c>
      <c r="F16" s="4">
        <v>15</v>
      </c>
      <c r="G16" s="4">
        <v>14</v>
      </c>
      <c r="H16" s="4">
        <v>47</v>
      </c>
      <c r="I16" s="4">
        <v>115</v>
      </c>
      <c r="J16" s="4">
        <v>3</v>
      </c>
      <c r="K16" s="4">
        <v>8</v>
      </c>
      <c r="L16" s="4">
        <v>8</v>
      </c>
      <c r="M16" s="4">
        <v>14</v>
      </c>
    </row>
  </sheetData>
  <sheetProtection formatColumns="0" formatRows="0" insertRows="0" deleteColumns="0" deleteRows="0" sort="0" autoFilter="0"/>
  <mergeCells count="7">
    <mergeCell ref="E15:H15"/>
    <mergeCell ref="D5:H5"/>
    <mergeCell ref="I12:I13"/>
    <mergeCell ref="D8:H8"/>
    <mergeCell ref="I8:I10"/>
    <mergeCell ref="E9:H9"/>
    <mergeCell ref="D9:D10"/>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xr:uid="{00000000-0002-0000-3800-000000000000}"/>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 xr:uid="{00000000-0002-0000-3800-000001000000}">
      <formula1>900</formula1>
    </dataValidation>
    <dataValidation type="textLength" operator="lessThanOrEqual" allowBlank="1" showInputMessage="1" showErrorMessage="1" errorTitle="Ошибка" error="Допускается ввод не более 900 символов!" sqref="E12:F12" xr:uid="{00000000-0002-0000-3800-000002000000}">
      <formula1>900</formula1>
    </dataValidation>
  </dataValidations>
  <printOptions horizontalCentered="1"/>
  <pageMargins left="0.24" right="0.24" top="0.24" bottom="0.24" header="0.24" footer="0.24"/>
  <pageSetup paperSize="9" scale="70" fitToHeight="0" orientation="landscape"/>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77739A-815D-53DA-3499-48A0925BD73C}">
  <sheetPr>
    <tabColor rgb="FFCCCCFF"/>
    <pageSetUpPr fitToPage="1"/>
  </sheetPr>
  <dimension ref="A1:J16"/>
  <sheetViews>
    <sheetView showGridLines="0" zoomScale="90" workbookViewId="0">
      <pane xSplit="4" ySplit="11" topLeftCell="E12" activePane="bottomRight" state="frozen"/>
      <selection pane="topRight" activeCell="E1" sqref="E1"/>
      <selection pane="bottomLeft" activeCell="A12" sqref="A12"/>
      <selection pane="bottomRight"/>
    </sheetView>
  </sheetViews>
  <sheetFormatPr defaultColWidth="9.140625" defaultRowHeight="14.25" customHeight="1"/>
  <cols>
    <col min="1" max="2" width="9.140625" style="4" hidden="1"/>
    <col min="3" max="3" width="3" style="16" customWidth="1"/>
    <col min="4" max="4" width="6" style="4" customWidth="1"/>
    <col min="5" max="5" width="94" style="4" customWidth="1"/>
    <col min="6" max="9" width="8" style="4" customWidth="1"/>
    <col min="10" max="10" width="9.140625" style="4" hidden="1"/>
  </cols>
  <sheetData>
    <row r="1" spans="1:10" ht="14.25" hidden="1" customHeight="1">
      <c r="J1" s="4" t="s">
        <v>14</v>
      </c>
    </row>
    <row r="2" spans="1:10" ht="14.25" hidden="1" customHeight="1">
      <c r="J2" s="4">
        <v>0</v>
      </c>
    </row>
    <row r="3" spans="1:10" ht="14.25" hidden="1" customHeight="1">
      <c r="J3" s="4">
        <v>0</v>
      </c>
    </row>
    <row r="4" spans="1:10" ht="14.25" hidden="1" customHeight="1">
      <c r="J4" s="4">
        <v>0</v>
      </c>
    </row>
    <row r="5" spans="1:10" ht="14.25" hidden="1" customHeight="1">
      <c r="J5" s="4">
        <v>0</v>
      </c>
    </row>
    <row r="6" spans="1:10" ht="3" customHeight="1">
      <c r="C6" s="15"/>
      <c r="D6" s="6"/>
      <c r="E6" s="6"/>
      <c r="J6" s="4">
        <v>3</v>
      </c>
    </row>
    <row r="7" spans="1:10" ht="23.25" customHeight="1">
      <c r="C7" s="15"/>
      <c r="D7" s="661" t="s">
        <v>1897</v>
      </c>
      <c r="E7" s="662"/>
      <c r="F7" s="92"/>
      <c r="J7" s="4">
        <v>22</v>
      </c>
    </row>
    <row r="8" spans="1:10" ht="3" customHeight="1">
      <c r="C8" s="15"/>
      <c r="D8" s="6"/>
      <c r="E8" s="6"/>
      <c r="J8" s="4">
        <v>3</v>
      </c>
    </row>
    <row r="9" spans="1:10" ht="16.899999999999999" customHeight="1">
      <c r="C9" s="15"/>
      <c r="D9" s="24" t="s">
        <v>88</v>
      </c>
      <c r="E9" s="29" t="s">
        <v>1898</v>
      </c>
      <c r="J9" s="4">
        <v>16</v>
      </c>
    </row>
    <row r="10" spans="1:10" ht="1.1499999999999999" customHeight="1">
      <c r="C10" s="15"/>
      <c r="D10" s="14"/>
      <c r="E10" s="14"/>
      <c r="J10" s="4">
        <v>1</v>
      </c>
    </row>
    <row r="11" spans="1:10" ht="11.25" hidden="1" customHeight="1">
      <c r="C11" s="15"/>
      <c r="D11" s="45">
        <v>0</v>
      </c>
      <c r="E11" s="90"/>
      <c r="J11" s="4">
        <v>0</v>
      </c>
    </row>
    <row r="12" spans="1:10" ht="15.75" customHeight="1">
      <c r="C12" s="15"/>
      <c r="D12" s="24">
        <v>1</v>
      </c>
      <c r="E12" s="74"/>
      <c r="J12" s="4">
        <v>15</v>
      </c>
    </row>
    <row r="13" spans="1:10" ht="12.75" customHeight="1">
      <c r="C13" s="15"/>
      <c r="D13" s="91"/>
      <c r="E13" s="26" t="s">
        <v>1899</v>
      </c>
      <c r="J13" s="4">
        <v>12</v>
      </c>
    </row>
    <row r="14" spans="1:10" ht="3" customHeight="1">
      <c r="J14" s="4">
        <v>3</v>
      </c>
    </row>
    <row r="15" spans="1:10" ht="23.25" customHeight="1">
      <c r="C15" s="38"/>
      <c r="D15" s="665" t="s">
        <v>1900</v>
      </c>
      <c r="E15" s="665"/>
      <c r="F15" s="39"/>
      <c r="G15" s="39"/>
      <c r="H15" s="39"/>
      <c r="I15" s="39"/>
      <c r="J15" s="4">
        <v>22</v>
      </c>
    </row>
    <row r="16" spans="1:10" ht="14.25" hidden="1" customHeight="1">
      <c r="A16" s="4" t="s">
        <v>82</v>
      </c>
      <c r="B16" s="4">
        <v>0</v>
      </c>
      <c r="C16" s="16">
        <v>3</v>
      </c>
      <c r="D16" s="4">
        <v>6</v>
      </c>
      <c r="E16" s="4">
        <v>94</v>
      </c>
      <c r="F16" s="4">
        <v>8</v>
      </c>
      <c r="G16" s="4">
        <v>8</v>
      </c>
      <c r="H16" s="4">
        <v>8</v>
      </c>
      <c r="I16" s="4">
        <v>8</v>
      </c>
      <c r="J16" s="4">
        <v>14</v>
      </c>
    </row>
  </sheetData>
  <sheetProtection formatColumns="0" formatRows="0" insertRows="0" deleteColumns="0" deleteRows="0" sort="0" autoFilter="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xr:uid="{00000000-0002-0000-3900-000000000000}">
      <formula1>900</formula1>
    </dataValidation>
  </dataValidations>
  <pageMargins left="0.75" right="0.75" top="1" bottom="1" header="0.5" footer="0.5"/>
  <pageSetup paperSize="9" scale="94"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D84B91-DEA9-0F49-9071-59459B56C674}">
  <sheetPr>
    <tabColor rgb="FFCCCCFF"/>
    <pageSetUpPr fitToPage="1"/>
  </sheetPr>
  <dimension ref="A1:M13"/>
  <sheetViews>
    <sheetView showGridLines="0" topLeftCell="C6" zoomScale="90" workbookViewId="0"/>
  </sheetViews>
  <sheetFormatPr defaultColWidth="9.140625" defaultRowHeight="14.25" customHeight="1"/>
  <cols>
    <col min="1" max="2" width="9.140625" style="4" hidden="1"/>
    <col min="3" max="3" width="3" style="16" customWidth="1"/>
    <col min="4" max="4" width="6" style="4" customWidth="1"/>
    <col min="5" max="5" width="94" style="4" customWidth="1"/>
    <col min="6" max="12" width="8" style="4" customWidth="1"/>
    <col min="13" max="13" width="9.140625" style="4" hidden="1"/>
  </cols>
  <sheetData>
    <row r="1" spans="1:13" ht="14.25" hidden="1" customHeight="1">
      <c r="M1" s="4" t="s">
        <v>14</v>
      </c>
    </row>
    <row r="2" spans="1:13" ht="14.25" hidden="1" customHeight="1">
      <c r="M2" s="4">
        <v>0</v>
      </c>
    </row>
    <row r="3" spans="1:13" ht="14.25" hidden="1" customHeight="1">
      <c r="M3" s="4">
        <v>0</v>
      </c>
    </row>
    <row r="4" spans="1:13" ht="14.25" hidden="1" customHeight="1">
      <c r="M4" s="4">
        <v>0</v>
      </c>
    </row>
    <row r="5" spans="1:13" ht="14.25" hidden="1" customHeight="1">
      <c r="M5" s="4">
        <v>0</v>
      </c>
    </row>
    <row r="6" spans="1:13" ht="3" customHeight="1">
      <c r="C6" s="15"/>
      <c r="D6" s="6"/>
      <c r="E6" s="6"/>
      <c r="M6" s="4">
        <v>3</v>
      </c>
    </row>
    <row r="7" spans="1:13" ht="23.25" customHeight="1">
      <c r="C7" s="15"/>
      <c r="D7" s="666" t="s">
        <v>1901</v>
      </c>
      <c r="E7" s="666"/>
      <c r="F7" s="92"/>
      <c r="M7" s="4">
        <v>22</v>
      </c>
    </row>
    <row r="8" spans="1:13" ht="3" customHeight="1">
      <c r="C8" s="15"/>
      <c r="D8" s="6"/>
      <c r="E8" s="6"/>
      <c r="M8" s="4">
        <v>3</v>
      </c>
    </row>
    <row r="9" spans="1:13" ht="16.899999999999999" customHeight="1">
      <c r="C9" s="15"/>
      <c r="D9" s="24" t="s">
        <v>88</v>
      </c>
      <c r="E9" s="27" t="s">
        <v>290</v>
      </c>
      <c r="M9" s="4">
        <v>16</v>
      </c>
    </row>
    <row r="10" spans="1:13" ht="12.75" customHeight="1">
      <c r="C10" s="15"/>
      <c r="D10" s="14" t="s">
        <v>110</v>
      </c>
      <c r="E10" s="14" t="s">
        <v>111</v>
      </c>
      <c r="M10" s="4">
        <v>12</v>
      </c>
    </row>
    <row r="11" spans="1:13" ht="15" hidden="1" customHeight="1">
      <c r="C11" s="15"/>
      <c r="D11" s="24">
        <v>0</v>
      </c>
      <c r="E11" s="31"/>
      <c r="M11" s="4">
        <v>0</v>
      </c>
    </row>
    <row r="12" spans="1:13" ht="14.65" customHeight="1">
      <c r="C12" s="15"/>
      <c r="D12" s="28"/>
      <c r="E12" s="26" t="s">
        <v>1899</v>
      </c>
      <c r="M12" s="4">
        <v>14</v>
      </c>
    </row>
    <row r="13" spans="1:13" ht="14.25" hidden="1" customHeight="1">
      <c r="A13" s="4" t="s">
        <v>82</v>
      </c>
      <c r="B13" s="4">
        <v>0</v>
      </c>
      <c r="C13" s="16">
        <v>3</v>
      </c>
      <c r="D13" s="4">
        <v>6</v>
      </c>
      <c r="E13" s="4">
        <v>94</v>
      </c>
      <c r="F13" s="4">
        <v>8</v>
      </c>
      <c r="G13" s="4">
        <v>8</v>
      </c>
      <c r="H13" s="4">
        <v>8</v>
      </c>
      <c r="I13" s="4">
        <v>8</v>
      </c>
      <c r="J13" s="4">
        <v>8</v>
      </c>
      <c r="K13" s="4">
        <v>8</v>
      </c>
      <c r="L13" s="4">
        <v>8</v>
      </c>
      <c r="M13" s="4">
        <v>14</v>
      </c>
    </row>
  </sheetData>
  <sheetProtection formatColumns="0" formatRows="0" insertRows="0" deleteColumns="0" deleteRows="0" sort="0" autoFilter="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xr:uid="{00000000-0002-0000-3A00-000000000000}">
      <formula1>900</formula1>
    </dataValidation>
  </dataValidations>
  <pageMargins left="0.75" right="0.75" top="1" bottom="1" header="0.5" footer="0.5"/>
  <pageSetup paperSize="9" scale="94"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693AEE-6808-F2E4-02FE-60DE0B5C3431}">
  <sheetPr>
    <tabColor rgb="FFCCCCFF"/>
  </sheetPr>
  <dimension ref="A1:F5"/>
  <sheetViews>
    <sheetView showGridLines="0" zoomScale="90" workbookViewId="0"/>
  </sheetViews>
  <sheetFormatPr defaultColWidth="9.140625" defaultRowHeight="11.25" customHeight="1"/>
  <cols>
    <col min="1" max="1" width="1.7109375" customWidth="1"/>
    <col min="2" max="2" width="34.5703125" customWidth="1"/>
    <col min="3" max="3" width="85" customWidth="1"/>
    <col min="4" max="4" width="17" customWidth="1"/>
    <col min="5" max="5" width="8" customWidth="1"/>
    <col min="6" max="6" width="9.140625" hidden="1"/>
  </cols>
  <sheetData>
    <row r="1" spans="1:6" ht="3" customHeight="1">
      <c r="F1" t="s">
        <v>14</v>
      </c>
    </row>
    <row r="2" spans="1:6" ht="22.5" customHeight="1">
      <c r="B2" s="733" t="s">
        <v>1902</v>
      </c>
      <c r="C2" s="733"/>
      <c r="D2" s="733"/>
      <c r="E2" s="93"/>
      <c r="F2">
        <v>22</v>
      </c>
    </row>
    <row r="3" spans="1:6" ht="3" customHeight="1">
      <c r="F3">
        <v>3</v>
      </c>
    </row>
    <row r="4" spans="1:6" ht="23.25" customHeight="1">
      <c r="B4" s="122" t="s">
        <v>1903</v>
      </c>
      <c r="C4" s="122" t="s">
        <v>1904</v>
      </c>
      <c r="D4" s="122" t="s">
        <v>1905</v>
      </c>
      <c r="F4">
        <v>22</v>
      </c>
    </row>
    <row r="5" spans="1:6" ht="11.25" hidden="1" customHeight="1">
      <c r="A5" t="s">
        <v>82</v>
      </c>
      <c r="B5">
        <v>34</v>
      </c>
      <c r="C5">
        <v>85</v>
      </c>
      <c r="D5">
        <v>17</v>
      </c>
      <c r="E5">
        <v>8</v>
      </c>
      <c r="F5">
        <v>11</v>
      </c>
    </row>
  </sheetData>
  <sheetProtection formatColumns="0" formatRows="0" insertRows="0" deleteColumns="0" deleteRows="0" sort="0" autoFilter="0"/>
  <autoFilter ref="B4:D4" xr:uid="{00000000-0009-0000-0000-00003B000000}"/>
  <mergeCells count="1">
    <mergeCell ref="B2:D2"/>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1B99D4-58BC-B531-3896-87EDF5FE856F}">
  <sheetPr>
    <tabColor rgb="FFFFCC99"/>
  </sheetPr>
  <dimension ref="A2:GB215"/>
  <sheetViews>
    <sheetView showGridLines="0" zoomScale="85" workbookViewId="0"/>
  </sheetViews>
  <sheetFormatPr defaultColWidth="9.140625" defaultRowHeight="17.100000000000001" customHeight="1"/>
  <cols>
    <col min="1" max="1" width="26.5703125" customWidth="1"/>
    <col min="2" max="2" width="10" customWidth="1"/>
    <col min="4" max="4" width="11.140625" customWidth="1"/>
    <col min="5" max="5" width="16.5703125" customWidth="1"/>
    <col min="6" max="6" width="16.28515625" customWidth="1"/>
    <col min="7" max="7" width="19.140625" customWidth="1"/>
    <col min="8" max="11" width="10" customWidth="1"/>
    <col min="12" max="12" width="12.7109375" customWidth="1"/>
    <col min="13" max="13" width="61.28515625" customWidth="1"/>
    <col min="14" max="14" width="10" customWidth="1"/>
    <col min="15" max="17" width="23.7109375" customWidth="1"/>
    <col min="18" max="18" width="11.7109375" customWidth="1"/>
    <col min="19" max="19" width="8.5703125" customWidth="1"/>
    <col min="20" max="20" width="11.7109375" customWidth="1"/>
    <col min="21" max="21" width="8.5703125" customWidth="1"/>
    <col min="22" max="22" width="4.7109375" customWidth="1"/>
    <col min="23" max="23" width="115.7109375" customWidth="1"/>
    <col min="24" max="24" width="115.28515625" customWidth="1"/>
    <col min="28" max="28" width="115.7109375" customWidth="1"/>
    <col min="30" max="90" width="115.7109375" customWidth="1"/>
  </cols>
  <sheetData>
    <row r="2" spans="1:80" s="573" customFormat="1" ht="17.25" customHeight="1">
      <c r="A2" s="573" t="s">
        <v>1906</v>
      </c>
    </row>
    <row r="4" spans="1:80" s="4" customFormat="1" ht="15" customHeight="1">
      <c r="C4" s="15"/>
      <c r="D4" s="24"/>
      <c r="E4" s="74"/>
    </row>
    <row r="6" spans="1:80" s="573" customFormat="1" ht="17.25" customHeight="1">
      <c r="A6" s="573" t="s">
        <v>1907</v>
      </c>
    </row>
    <row r="8" spans="1:80" s="4" customFormat="1" ht="17.25" customHeight="1">
      <c r="C8" s="15"/>
      <c r="D8" s="24"/>
      <c r="E8" s="25"/>
    </row>
    <row r="11" spans="1:80" s="573" customFormat="1" ht="17.25" customHeight="1">
      <c r="A11" s="573" t="s">
        <v>1908</v>
      </c>
    </row>
    <row r="13" spans="1:80" s="32" customFormat="1" ht="15" customHeight="1">
      <c r="A13" s="732">
        <v>1</v>
      </c>
      <c r="B13" s="43"/>
      <c r="C13" s="56" t="s">
        <v>123</v>
      </c>
      <c r="D13" s="16"/>
      <c r="E13" s="29">
        <f>A13</f>
        <v>1</v>
      </c>
      <c r="F13" s="174"/>
      <c r="G13" s="74" t="str">
        <f>"Территория "&amp;E13</f>
        <v>Территория 1</v>
      </c>
      <c r="H13" s="261"/>
      <c r="I13" s="261"/>
      <c r="J13" s="46"/>
      <c r="K13" s="46"/>
      <c r="L13" s="46"/>
      <c r="M13" s="46"/>
      <c r="N13" s="46"/>
      <c r="O13" s="46"/>
      <c r="P13" s="78"/>
      <c r="Q13" s="78"/>
      <c r="R13" s="78"/>
      <c r="S13" s="78"/>
    </row>
    <row r="14" spans="1:80" ht="15" customHeight="1">
      <c r="A14" s="732"/>
      <c r="B14" s="43">
        <v>1</v>
      </c>
      <c r="C14" s="43"/>
      <c r="D14" s="266"/>
      <c r="E14" s="101" t="str">
        <f>A13&amp;"."&amp;B14</f>
        <v>1.1</v>
      </c>
      <c r="F14" s="267">
        <f>$F$20</f>
        <v>0</v>
      </c>
      <c r="G14" s="262"/>
      <c r="H14" s="262"/>
      <c r="I14" s="260"/>
      <c r="J14" s="46"/>
      <c r="K14" s="46"/>
      <c r="L14" s="46"/>
      <c r="M14" s="46" t="str">
        <f t="array" ref="M14">IF(ISERROR(MATCH(MID(N14,1,250),MID(note_ter,1,250),0)),"n","y")</f>
        <v>n</v>
      </c>
      <c r="N14" s="46"/>
      <c r="O14" s="46" t="str">
        <f>H14&amp;"("&amp;I14&amp;")"</f>
        <v>()</v>
      </c>
      <c r="P14" s="43"/>
      <c r="Q14" s="43"/>
      <c r="R14" s="135"/>
      <c r="S14" s="43"/>
      <c r="T14" s="43"/>
      <c r="U14" s="43"/>
      <c r="V14" s="43"/>
      <c r="W14" s="43"/>
      <c r="X14" s="46"/>
      <c r="Y14" s="46"/>
      <c r="Z14" s="46"/>
      <c r="AA14" s="46"/>
      <c r="AB14" s="46"/>
      <c r="AC14" s="46"/>
      <c r="AD14" s="46"/>
      <c r="AE14" s="46"/>
      <c r="AF14" s="46"/>
      <c r="AG14" s="46"/>
      <c r="AH14" s="46"/>
      <c r="AI14" s="46"/>
      <c r="AJ14" s="46"/>
      <c r="AK14" s="46"/>
      <c r="AL14" s="46"/>
      <c r="AM14" s="46"/>
      <c r="AN14" s="46"/>
      <c r="AO14" s="46"/>
      <c r="AP14" s="46"/>
      <c r="AQ14" s="46"/>
      <c r="AR14" s="46"/>
      <c r="AS14" s="46"/>
      <c r="AT14" s="46"/>
      <c r="AU14" s="46"/>
      <c r="AV14" s="46"/>
      <c r="AW14" s="46"/>
      <c r="AX14" s="46"/>
      <c r="AY14" s="46"/>
      <c r="AZ14" s="46"/>
      <c r="BA14" s="46"/>
      <c r="BB14" s="46"/>
      <c r="BC14" s="46"/>
      <c r="BD14" s="46"/>
      <c r="BE14" s="46"/>
      <c r="BF14" s="46"/>
      <c r="BG14" s="46"/>
      <c r="BH14" s="46"/>
      <c r="BI14" s="46"/>
      <c r="BJ14" s="46"/>
      <c r="BK14" s="46"/>
      <c r="BL14" s="46"/>
      <c r="BM14" s="46"/>
      <c r="BN14" s="46"/>
      <c r="BO14" s="46"/>
      <c r="BP14" s="46"/>
      <c r="BQ14" s="46"/>
      <c r="BR14" s="46"/>
      <c r="BS14" s="43"/>
      <c r="BT14" s="43"/>
      <c r="BU14" s="43"/>
      <c r="BV14" s="43"/>
      <c r="BW14" s="43"/>
      <c r="BX14" s="43"/>
      <c r="BY14" s="43"/>
      <c r="BZ14" s="43"/>
      <c r="CA14" s="43"/>
      <c r="CB14" s="43"/>
    </row>
    <row r="15" spans="1:80" ht="15" customHeight="1">
      <c r="A15" s="732"/>
      <c r="B15" s="43"/>
      <c r="C15" s="22"/>
      <c r="D15" s="56"/>
      <c r="E15" s="91"/>
      <c r="F15" s="57"/>
      <c r="G15" s="37" t="s">
        <v>103</v>
      </c>
      <c r="H15" s="54"/>
      <c r="I15" s="102"/>
      <c r="J15" s="46"/>
      <c r="K15" s="46"/>
      <c r="L15" s="46"/>
      <c r="M15" s="46"/>
      <c r="N15" s="46"/>
      <c r="O15" s="46"/>
      <c r="P15" s="43"/>
      <c r="Q15" s="43"/>
      <c r="R15" s="135"/>
      <c r="S15" s="43"/>
      <c r="T15" s="43"/>
      <c r="U15" s="43"/>
      <c r="V15" s="43"/>
      <c r="W15" s="43"/>
      <c r="X15" s="46"/>
      <c r="Y15" s="46"/>
      <c r="Z15" s="46"/>
      <c r="AA15" s="46"/>
      <c r="AB15" s="46"/>
      <c r="AC15" s="46"/>
      <c r="AD15" s="46"/>
      <c r="AE15" s="46"/>
      <c r="AF15" s="46"/>
      <c r="AG15" s="46"/>
      <c r="AH15" s="46"/>
      <c r="AI15" s="46"/>
      <c r="AJ15" s="46"/>
      <c r="AK15" s="46"/>
      <c r="AL15" s="46"/>
      <c r="AM15" s="46"/>
      <c r="AN15" s="46"/>
      <c r="AO15" s="46"/>
      <c r="AP15" s="46"/>
      <c r="AQ15" s="46"/>
      <c r="AR15" s="46"/>
      <c r="AS15" s="46"/>
      <c r="AT15" s="46"/>
      <c r="AU15" s="46"/>
      <c r="AV15" s="46"/>
      <c r="AW15" s="46"/>
      <c r="AX15" s="46"/>
      <c r="AY15" s="46"/>
      <c r="AZ15" s="46"/>
      <c r="BA15" s="46"/>
      <c r="BB15" s="46"/>
      <c r="BC15" s="46"/>
      <c r="BD15" s="46"/>
      <c r="BE15" s="46"/>
      <c r="BF15" s="46"/>
      <c r="BG15" s="46"/>
      <c r="BH15" s="46"/>
      <c r="BI15" s="46"/>
      <c r="BJ15" s="46"/>
      <c r="BK15" s="46"/>
      <c r="BL15" s="46"/>
      <c r="BM15" s="46"/>
      <c r="BN15" s="46"/>
      <c r="BO15" s="46"/>
      <c r="BP15" s="46"/>
      <c r="BQ15" s="46"/>
      <c r="BR15" s="46"/>
      <c r="BS15" s="43"/>
      <c r="BT15" s="43"/>
      <c r="BU15" s="43"/>
      <c r="BV15" s="43"/>
      <c r="BW15" s="43"/>
      <c r="BX15" s="43"/>
      <c r="BY15" s="43"/>
      <c r="BZ15" s="43"/>
      <c r="CA15" s="43"/>
      <c r="CB15" s="43"/>
    </row>
    <row r="17" spans="1:80" s="573" customFormat="1" ht="17.25" customHeight="1">
      <c r="A17" s="573" t="s">
        <v>1909</v>
      </c>
    </row>
    <row r="19" spans="1:80" ht="15" customHeight="1">
      <c r="A19" s="43"/>
      <c r="B19" s="43">
        <v>1</v>
      </c>
      <c r="C19" s="43"/>
      <c r="D19" s="266" t="s">
        <v>123</v>
      </c>
      <c r="E19" s="29"/>
      <c r="F19" s="565">
        <f>$F$20</f>
        <v>0</v>
      </c>
      <c r="G19" s="164"/>
      <c r="H19" s="164"/>
      <c r="I19" s="75"/>
      <c r="J19" s="46"/>
      <c r="K19" s="46"/>
      <c r="L19" s="46"/>
      <c r="M19" s="46" t="str">
        <f t="array" ref="M19">IF(ISERROR(MATCH(MID(N19,1,250),MID(note_ter,1,250),0)),"n","y")</f>
        <v>n</v>
      </c>
      <c r="N19" s="46"/>
      <c r="O19" s="46" t="str">
        <f>H19&amp;"("&amp;I19&amp;")"</f>
        <v>()</v>
      </c>
      <c r="P19" s="43"/>
      <c r="Q19" s="43"/>
      <c r="R19" s="135"/>
      <c r="S19" s="43"/>
      <c r="T19" s="43"/>
      <c r="U19" s="43"/>
      <c r="V19" s="43"/>
      <c r="W19" s="43"/>
      <c r="X19" s="46"/>
      <c r="Y19" s="46"/>
      <c r="Z19" s="46"/>
      <c r="AA19" s="46"/>
      <c r="AB19" s="46"/>
      <c r="AC19" s="46"/>
      <c r="AD19" s="46"/>
      <c r="AE19" s="46"/>
      <c r="AF19" s="46"/>
      <c r="AG19" s="46"/>
      <c r="AH19" s="46"/>
      <c r="AI19" s="46"/>
      <c r="AJ19" s="46"/>
      <c r="AK19" s="46"/>
      <c r="AL19" s="46"/>
      <c r="AM19" s="46"/>
      <c r="AN19" s="46"/>
      <c r="AO19" s="46"/>
      <c r="AP19" s="46"/>
      <c r="AQ19" s="46"/>
      <c r="AR19" s="46"/>
      <c r="AS19" s="46"/>
      <c r="AT19" s="46"/>
      <c r="AU19" s="46"/>
      <c r="AV19" s="46"/>
      <c r="AW19" s="46"/>
      <c r="AX19" s="46"/>
      <c r="AY19" s="46"/>
      <c r="AZ19" s="46"/>
      <c r="BA19" s="46"/>
      <c r="BB19" s="46"/>
      <c r="BC19" s="46"/>
      <c r="BD19" s="46"/>
      <c r="BE19" s="46"/>
      <c r="BF19" s="46"/>
      <c r="BG19" s="46"/>
      <c r="BH19" s="46"/>
      <c r="BI19" s="46"/>
      <c r="BJ19" s="46"/>
      <c r="BK19" s="46"/>
      <c r="BL19" s="46"/>
      <c r="BM19" s="46"/>
      <c r="BN19" s="46"/>
      <c r="BO19" s="46"/>
      <c r="BP19" s="46"/>
      <c r="BQ19" s="46"/>
      <c r="BR19" s="46"/>
      <c r="BS19" s="43"/>
      <c r="BT19" s="43"/>
      <c r="BU19" s="43"/>
      <c r="BV19" s="43"/>
      <c r="BW19" s="43"/>
      <c r="BX19" s="43"/>
      <c r="BY19" s="43"/>
      <c r="BZ19" s="43"/>
      <c r="CA19" s="43"/>
      <c r="CB19" s="43"/>
    </row>
    <row r="21" spans="1:80" ht="15" customHeight="1">
      <c r="A21" s="573" t="s">
        <v>1910</v>
      </c>
      <c r="B21" s="573"/>
      <c r="C21" s="573"/>
      <c r="D21" s="573"/>
      <c r="E21" s="573"/>
      <c r="F21" s="573"/>
      <c r="G21" s="573"/>
      <c r="H21" s="573"/>
      <c r="I21" s="573"/>
      <c r="J21" s="573"/>
      <c r="K21" s="573"/>
      <c r="L21" s="573"/>
      <c r="M21" s="573"/>
      <c r="N21" s="573"/>
      <c r="O21" s="573"/>
      <c r="P21" s="573"/>
      <c r="Q21" s="573"/>
      <c r="R21" s="573"/>
      <c r="S21" s="573"/>
      <c r="T21" s="573"/>
      <c r="U21" s="63"/>
      <c r="V21" s="573"/>
      <c r="W21" s="573"/>
    </row>
    <row r="22" spans="1:80" ht="15" customHeight="1">
      <c r="U22" s="64"/>
    </row>
    <row r="23" spans="1:80" s="22" customFormat="1" ht="15" customHeight="1">
      <c r="A23"/>
      <c r="B23"/>
      <c r="C23" s="266" t="s">
        <v>123</v>
      </c>
      <c r="D23" s="679" t="s">
        <v>110</v>
      </c>
      <c r="E23" s="686"/>
      <c r="F23" s="688" t="s">
        <v>19</v>
      </c>
      <c r="G23" s="692"/>
      <c r="H23" s="679">
        <v>1</v>
      </c>
      <c r="I23" s="683" t="str">
        <f>IF(U23="","",INDEX(TERRITORY_MR_LIST,MATCH(U23,TERRITORY_LIST_ID,0)))</f>
        <v/>
      </c>
      <c r="J23" s="688" t="s">
        <v>19</v>
      </c>
      <c r="K23" s="276"/>
      <c r="L23" s="31" t="s">
        <v>110</v>
      </c>
      <c r="M23" s="195"/>
      <c r="N23" s="43"/>
      <c r="O23" s="43"/>
      <c r="P23" s="43"/>
      <c r="Q23" s="43"/>
      <c r="R23" s="43"/>
      <c r="S23" s="43"/>
      <c r="T23" s="43"/>
      <c r="U23" s="135"/>
      <c r="V23" s="43"/>
      <c r="W23" s="43"/>
      <c r="X23" s="43"/>
      <c r="Y23" s="43" t="s">
        <v>120</v>
      </c>
      <c r="Z23" s="43">
        <v>1705000</v>
      </c>
      <c r="AA23" s="43"/>
      <c r="AB23" s="43"/>
      <c r="AC23" s="43"/>
      <c r="AD23" s="43"/>
      <c r="AE23" s="43"/>
      <c r="AF23" s="43"/>
      <c r="AG23" s="43"/>
      <c r="AH23" s="43"/>
      <c r="AI23" s="43"/>
      <c r="AJ23" s="43"/>
      <c r="AK23" s="43"/>
      <c r="AL23" s="43"/>
    </row>
    <row r="24" spans="1:80" s="22" customFormat="1" ht="15" customHeight="1">
      <c r="A24"/>
      <c r="B24"/>
      <c r="C24" s="56"/>
      <c r="D24" s="679"/>
      <c r="E24" s="689"/>
      <c r="F24" s="688"/>
      <c r="G24" s="693"/>
      <c r="H24" s="679"/>
      <c r="I24" s="683"/>
      <c r="J24" s="688"/>
      <c r="K24" s="91"/>
      <c r="L24" s="57"/>
      <c r="M24" s="26" t="s">
        <v>121</v>
      </c>
      <c r="N24" s="43"/>
      <c r="O24" s="43"/>
      <c r="P24" s="43"/>
      <c r="Q24" s="43"/>
      <c r="R24" s="43"/>
      <c r="S24" s="43"/>
      <c r="T24" s="43"/>
      <c r="U24" s="135"/>
      <c r="V24" s="43"/>
      <c r="W24" s="43"/>
      <c r="X24" s="43"/>
      <c r="Y24" s="43"/>
      <c r="Z24" s="43"/>
      <c r="AA24" s="43"/>
      <c r="AB24" s="43"/>
      <c r="AC24" s="43"/>
      <c r="AD24" s="43"/>
      <c r="AE24" s="43"/>
      <c r="AF24" s="43"/>
      <c r="AG24" s="43"/>
      <c r="AH24" s="43"/>
      <c r="AI24" s="43"/>
      <c r="AJ24" s="43"/>
      <c r="AK24" s="43"/>
      <c r="AL24" s="43"/>
    </row>
    <row r="25" spans="1:80" s="22" customFormat="1" ht="15" customHeight="1">
      <c r="A25"/>
      <c r="B25"/>
      <c r="C25" s="56"/>
      <c r="D25" s="679"/>
      <c r="E25" s="687"/>
      <c r="F25" s="688"/>
      <c r="G25" s="91"/>
      <c r="H25" s="57"/>
      <c r="I25" s="37" t="s">
        <v>122</v>
      </c>
      <c r="J25" s="57"/>
      <c r="K25" s="57"/>
      <c r="L25" s="57"/>
      <c r="M25" s="196"/>
      <c r="N25" s="43"/>
      <c r="O25" s="43"/>
      <c r="P25" s="43"/>
      <c r="Q25" s="43"/>
      <c r="R25" s="43"/>
      <c r="S25" s="43"/>
      <c r="T25" s="43"/>
      <c r="U25" s="135"/>
      <c r="V25" s="43"/>
      <c r="W25" s="43"/>
      <c r="X25" s="43"/>
      <c r="Y25" s="43"/>
      <c r="Z25" s="43"/>
      <c r="AA25" s="43"/>
      <c r="AB25" s="43"/>
      <c r="AC25" s="43"/>
      <c r="AD25" s="43"/>
      <c r="AE25" s="43"/>
      <c r="AF25" s="43"/>
      <c r="AG25" s="43"/>
      <c r="AH25" s="43"/>
      <c r="AI25" s="43"/>
      <c r="AJ25" s="43"/>
      <c r="AK25" s="43"/>
      <c r="AL25" s="43"/>
    </row>
    <row r="26" spans="1:80" ht="15" customHeight="1">
      <c r="U26" s="64"/>
    </row>
    <row r="27" spans="1:80" ht="15" customHeight="1">
      <c r="A27" s="573" t="s">
        <v>1911</v>
      </c>
      <c r="B27" s="573"/>
      <c r="C27" s="573"/>
      <c r="D27" s="573"/>
      <c r="E27" s="573"/>
      <c r="F27" s="573"/>
      <c r="G27" s="573"/>
      <c r="H27" s="573"/>
      <c r="I27" s="573"/>
      <c r="J27" s="573"/>
      <c r="K27" s="573"/>
      <c r="L27" s="573"/>
      <c r="M27" s="573"/>
      <c r="N27" s="573"/>
      <c r="O27" s="573"/>
      <c r="P27" s="573"/>
      <c r="Q27" s="573"/>
      <c r="R27" s="573"/>
      <c r="S27" s="573"/>
      <c r="T27" s="573"/>
      <c r="U27" s="63"/>
      <c r="V27" s="573"/>
      <c r="W27" s="573"/>
    </row>
    <row r="28" spans="1:80" ht="15" customHeight="1">
      <c r="U28" s="64"/>
    </row>
    <row r="29" spans="1:80" s="22" customFormat="1" ht="15" customHeight="1">
      <c r="A29"/>
      <c r="B29"/>
      <c r="C29" s="56"/>
      <c r="D29" s="248"/>
      <c r="E29" s="248"/>
      <c r="F29" s="248"/>
      <c r="G29" s="870" t="s">
        <v>123</v>
      </c>
      <c r="H29" s="661">
        <v>1</v>
      </c>
      <c r="I29" s="688" t="str">
        <f>IF(U29="","",INDEX(TERRITORY_MR_LIST,MATCH(U29,TERRITORY_LIST_ID,0)))</f>
        <v/>
      </c>
      <c r="J29" s="688" t="s">
        <v>19</v>
      </c>
      <c r="K29" s="276"/>
      <c r="L29" s="31" t="s">
        <v>110</v>
      </c>
      <c r="M29" s="195"/>
      <c r="N29" s="43"/>
      <c r="O29" s="43"/>
      <c r="P29" s="43"/>
      <c r="Q29" s="43"/>
      <c r="R29" s="43"/>
      <c r="S29" s="43"/>
      <c r="T29" s="43"/>
      <c r="U29" s="135"/>
      <c r="V29" s="43"/>
      <c r="W29" s="43"/>
      <c r="X29" s="43"/>
      <c r="Y29" s="43" t="s">
        <v>120</v>
      </c>
      <c r="Z29" s="43">
        <v>1705000</v>
      </c>
      <c r="AA29" s="43"/>
      <c r="AB29" s="43"/>
      <c r="AC29" s="43"/>
      <c r="AD29" s="43"/>
      <c r="AE29" s="43"/>
      <c r="AF29" s="43"/>
      <c r="AG29" s="43"/>
      <c r="AH29" s="43"/>
      <c r="AI29" s="43"/>
      <c r="AJ29" s="43"/>
      <c r="AK29" s="43"/>
      <c r="AL29" s="43"/>
    </row>
    <row r="30" spans="1:80" s="22" customFormat="1" ht="15" customHeight="1">
      <c r="A30"/>
      <c r="B30"/>
      <c r="C30" s="56"/>
      <c r="D30" s="248"/>
      <c r="E30" s="248"/>
      <c r="F30" s="248"/>
      <c r="G30" s="870"/>
      <c r="H30" s="661"/>
      <c r="I30" s="688"/>
      <c r="J30" s="688"/>
      <c r="K30" s="91"/>
      <c r="L30" s="57"/>
      <c r="M30" s="26" t="s">
        <v>121</v>
      </c>
      <c r="N30" s="43"/>
      <c r="O30" s="43"/>
      <c r="P30" s="43"/>
      <c r="Q30" s="43"/>
      <c r="R30" s="43"/>
      <c r="S30" s="43"/>
      <c r="T30" s="43"/>
      <c r="U30" s="135"/>
      <c r="V30" s="43"/>
      <c r="W30" s="43"/>
      <c r="X30" s="43"/>
      <c r="Y30" s="43"/>
      <c r="Z30" s="43"/>
      <c r="AA30" s="43"/>
      <c r="AB30" s="43"/>
      <c r="AC30" s="43"/>
      <c r="AD30" s="43"/>
      <c r="AE30" s="43"/>
      <c r="AF30" s="43"/>
      <c r="AG30" s="43"/>
      <c r="AH30" s="43"/>
      <c r="AI30" s="43"/>
      <c r="AJ30" s="43"/>
      <c r="AK30" s="43"/>
      <c r="AL30" s="43"/>
    </row>
    <row r="31" spans="1:80" ht="15" customHeight="1">
      <c r="U31" s="64"/>
    </row>
    <row r="32" spans="1:80" ht="15" customHeight="1">
      <c r="A32" s="573" t="s">
        <v>1912</v>
      </c>
      <c r="B32" s="573"/>
      <c r="C32" s="573"/>
      <c r="D32" s="573"/>
      <c r="E32" s="573"/>
      <c r="F32" s="573"/>
      <c r="G32" s="573"/>
      <c r="H32" s="573"/>
      <c r="I32" s="573"/>
      <c r="J32" s="573"/>
      <c r="K32" s="573"/>
      <c r="L32" s="573"/>
      <c r="M32" s="573"/>
      <c r="N32" s="573"/>
      <c r="O32" s="573"/>
      <c r="P32" s="573"/>
      <c r="Q32" s="573"/>
      <c r="R32" s="573"/>
      <c r="S32" s="573"/>
      <c r="T32" s="573"/>
      <c r="U32" s="63"/>
      <c r="V32" s="573"/>
      <c r="W32" s="573"/>
    </row>
    <row r="33" spans="1:38" ht="15" customHeight="1">
      <c r="U33" s="64"/>
    </row>
    <row r="34" spans="1:38" s="22" customFormat="1" ht="15" customHeight="1">
      <c r="A34"/>
      <c r="B34"/>
      <c r="C34" s="56"/>
      <c r="D34" s="248"/>
      <c r="E34" s="248"/>
      <c r="F34" s="248"/>
      <c r="G34" s="248"/>
      <c r="H34" s="248"/>
      <c r="I34" s="248"/>
      <c r="J34" s="248"/>
      <c r="K34" s="405" t="s">
        <v>123</v>
      </c>
      <c r="L34" s="264" t="s">
        <v>110</v>
      </c>
      <c r="M34" s="268"/>
      <c r="N34" s="269"/>
      <c r="O34" s="43"/>
      <c r="P34" s="43"/>
      <c r="Q34" s="43"/>
      <c r="R34" s="43"/>
      <c r="S34" s="43"/>
      <c r="T34" s="43"/>
      <c r="U34" s="135"/>
      <c r="V34" s="43"/>
      <c r="W34" s="43"/>
      <c r="X34" s="43"/>
      <c r="Y34" s="43" t="s">
        <v>120</v>
      </c>
      <c r="Z34" s="43">
        <v>1705000</v>
      </c>
      <c r="AA34" s="43"/>
      <c r="AB34" s="43"/>
      <c r="AC34" s="43"/>
      <c r="AD34" s="43"/>
      <c r="AE34" s="43"/>
      <c r="AF34" s="43"/>
      <c r="AG34" s="43"/>
      <c r="AH34" s="43"/>
      <c r="AI34" s="43"/>
      <c r="AJ34" s="43"/>
      <c r="AK34" s="43"/>
      <c r="AL34" s="43"/>
    </row>
    <row r="35" spans="1:38" ht="15" customHeight="1">
      <c r="U35" s="64"/>
    </row>
    <row r="36" spans="1:38" ht="15" customHeight="1">
      <c r="U36" s="64"/>
    </row>
    <row r="37" spans="1:38" s="573" customFormat="1" ht="11.25" customHeight="1">
      <c r="A37" s="573" t="s">
        <v>1913</v>
      </c>
    </row>
    <row r="38" spans="1:38" ht="11.25" customHeight="1"/>
    <row r="39" spans="1:38" s="140" customFormat="1" ht="22.5" customHeight="1">
      <c r="A39" s="11"/>
      <c r="B39" s="6"/>
      <c r="C39" s="6"/>
      <c r="D39" s="99"/>
      <c r="E39" s="139"/>
      <c r="F39" s="519"/>
      <c r="G39" s="248"/>
      <c r="H39" s="149"/>
    </row>
    <row r="40" spans="1:38" ht="11.25" customHeight="1"/>
    <row r="41" spans="1:38" s="573" customFormat="1" ht="11.25" customHeight="1">
      <c r="A41" s="573" t="s">
        <v>1914</v>
      </c>
    </row>
    <row r="42" spans="1:38" ht="11.25" customHeight="1"/>
    <row r="43" spans="1:38" s="140" customFormat="1" ht="22.5" customHeight="1">
      <c r="A43" s="6"/>
      <c r="B43" s="6"/>
      <c r="C43" s="6"/>
      <c r="D43" s="99"/>
      <c r="E43" s="139"/>
      <c r="F43" s="225"/>
      <c r="G43" s="248"/>
      <c r="H43" s="149"/>
    </row>
    <row r="44" spans="1:38" ht="11.25" customHeight="1"/>
    <row r="45" spans="1:38" s="573" customFormat="1" ht="11.25" customHeight="1">
      <c r="A45" s="573" t="s">
        <v>1915</v>
      </c>
    </row>
    <row r="46" spans="1:38" ht="11.25" customHeight="1"/>
    <row r="47" spans="1:38" s="140" customFormat="1" ht="24" customHeight="1">
      <c r="A47" s="719" t="s">
        <v>316</v>
      </c>
      <c r="B47" s="159"/>
      <c r="C47" s="727"/>
      <c r="D47" s="44" t="str">
        <f>A47</f>
        <v>5.1</v>
      </c>
      <c r="E47" s="99" t="s">
        <v>317</v>
      </c>
      <c r="F47" s="27" t="s">
        <v>309</v>
      </c>
      <c r="G47" s="99" t="s">
        <v>318</v>
      </c>
      <c r="H47" s="149"/>
      <c r="I47" s="231"/>
    </row>
    <row r="48" spans="1:38" s="140" customFormat="1" ht="22.5" customHeight="1">
      <c r="A48" s="719"/>
      <c r="B48" s="159"/>
      <c r="C48" s="727"/>
      <c r="D48" s="99" t="str">
        <f>D47&amp;".1"</f>
        <v>5.1.1</v>
      </c>
      <c r="E48" s="99" t="s">
        <v>319</v>
      </c>
      <c r="F48" s="139" t="s">
        <v>22</v>
      </c>
      <c r="G48" s="24"/>
      <c r="H48" s="149"/>
      <c r="I48" s="231"/>
    </row>
    <row r="49" spans="1:45" s="140" customFormat="1" ht="22.5" customHeight="1">
      <c r="A49" s="719"/>
      <c r="B49" s="159"/>
      <c r="C49" s="727"/>
      <c r="D49" s="99" t="str">
        <f>D47&amp;".2"</f>
        <v>5.1.2</v>
      </c>
      <c r="E49" s="99" t="s">
        <v>320</v>
      </c>
      <c r="F49" s="544" t="s">
        <v>22</v>
      </c>
      <c r="G49" s="99" t="s">
        <v>321</v>
      </c>
      <c r="H49" s="149"/>
      <c r="I49" s="231"/>
    </row>
    <row r="50" spans="1:45" s="140" customFormat="1" ht="22.5" customHeight="1">
      <c r="A50" s="719"/>
      <c r="B50" s="159"/>
      <c r="C50" s="727"/>
      <c r="D50" s="99" t="str">
        <f>D47&amp;".3"</f>
        <v>5.1.3</v>
      </c>
      <c r="E50" s="99" t="s">
        <v>322</v>
      </c>
      <c r="F50" s="139" t="s">
        <v>22</v>
      </c>
      <c r="G50" s="24"/>
      <c r="H50" s="149"/>
      <c r="I50" s="231"/>
    </row>
    <row r="51" spans="1:45" s="140" customFormat="1" ht="22.5" customHeight="1">
      <c r="A51" s="719"/>
      <c r="B51" s="159"/>
      <c r="C51" s="727"/>
      <c r="D51" s="99" t="str">
        <f>D47&amp;".4"</f>
        <v>5.1.4</v>
      </c>
      <c r="E51" s="99" t="s">
        <v>323</v>
      </c>
      <c r="F51" s="139" t="s">
        <v>22</v>
      </c>
      <c r="G51" s="99" t="s">
        <v>324</v>
      </c>
      <c r="H51" s="149"/>
      <c r="I51" s="231"/>
    </row>
    <row r="54" spans="1:45" s="573" customFormat="1" ht="17.25" customHeight="1">
      <c r="A54" s="573" t="s">
        <v>1916</v>
      </c>
    </row>
    <row r="56" spans="1:45" s="85" customFormat="1" ht="18.75" customHeight="1">
      <c r="A56"/>
      <c r="B56" s="4"/>
      <c r="C56" s="4"/>
      <c r="D56" s="15"/>
      <c r="E56" s="571"/>
      <c r="F56" s="294">
        <v>13</v>
      </c>
      <c r="G56" s="293"/>
      <c r="H56" s="262"/>
      <c r="I56" s="260"/>
      <c r="J56" s="164" t="s">
        <v>66</v>
      </c>
      <c r="K56" s="574" t="s">
        <v>22</v>
      </c>
      <c r="L56"/>
      <c r="M56" s="46"/>
      <c r="N56" s="46"/>
      <c r="O56" s="46"/>
      <c r="P56" s="46" t="s">
        <v>395</v>
      </c>
      <c r="Q56" s="46" t="s">
        <v>396</v>
      </c>
      <c r="R56" s="160" t="s">
        <v>397</v>
      </c>
      <c r="S56" s="46" t="s">
        <v>398</v>
      </c>
      <c r="T56" s="46"/>
      <c r="U56" s="46"/>
      <c r="V56" s="46"/>
    </row>
    <row r="58" spans="1:45" s="573" customFormat="1" ht="11.25" customHeight="1">
      <c r="A58" s="573" t="s">
        <v>1917</v>
      </c>
    </row>
    <row r="60" spans="1:45" s="4" customFormat="1" ht="14.25" customHeight="1">
      <c r="C60" s="15"/>
      <c r="D60" s="49"/>
      <c r="E60" s="226" t="s">
        <v>22</v>
      </c>
      <c r="F60" s="288"/>
      <c r="G60" s="289"/>
      <c r="H60" s="204"/>
      <c r="I60" s="204"/>
      <c r="J60" s="137"/>
      <c r="K60" s="589"/>
      <c r="L60" s="136"/>
      <c r="M60" s="589"/>
      <c r="N60" s="137"/>
      <c r="O60" s="589"/>
      <c r="P60" s="137"/>
      <c r="Q60" s="589"/>
      <c r="R60" s="137"/>
      <c r="S60" s="287"/>
      <c r="T60" s="204"/>
      <c r="U60" s="137"/>
      <c r="V60" s="137"/>
      <c r="W60" s="275"/>
      <c r="X60" s="204"/>
      <c r="Y60" s="137"/>
      <c r="Z60" s="137"/>
      <c r="AA60" s="275"/>
      <c r="AB60" s="204"/>
      <c r="AC60" s="137"/>
      <c r="AD60" s="275"/>
      <c r="AE60"/>
      <c r="AF60"/>
      <c r="AG60"/>
      <c r="AH60"/>
      <c r="AJ60" s="46"/>
      <c r="AK60" s="46"/>
      <c r="AL60" s="46"/>
      <c r="AM60" s="46"/>
      <c r="AN60" s="46"/>
      <c r="AO60" s="46"/>
      <c r="AP60" s="46" t="s">
        <v>384</v>
      </c>
      <c r="AQ60" s="46" t="s">
        <v>384</v>
      </c>
      <c r="AR60" s="46"/>
      <c r="AS60" s="46"/>
    </row>
    <row r="62" spans="1:45" s="573" customFormat="1" ht="11.25" customHeight="1">
      <c r="A62" s="573" t="s">
        <v>1918</v>
      </c>
    </row>
    <row r="64" spans="1:45" s="4" customFormat="1" ht="15" customHeight="1">
      <c r="A64" s="43" t="s">
        <v>90</v>
      </c>
      <c r="B64" s="4" t="s">
        <v>22</v>
      </c>
      <c r="C64" s="33"/>
      <c r="D64" s="31"/>
      <c r="E64" s="74"/>
      <c r="F64" s="74"/>
      <c r="G64" s="544"/>
      <c r="H64" s="574"/>
      <c r="I64" s="139"/>
      <c r="K64" s="46"/>
      <c r="L64" s="46"/>
    </row>
    <row r="66" spans="1:30" s="573" customFormat="1" ht="11.25" customHeight="1">
      <c r="A66" s="573" t="s">
        <v>1919</v>
      </c>
    </row>
    <row r="68" spans="1:30" s="4" customFormat="1" ht="14.25" customHeight="1">
      <c r="B68" s="43"/>
      <c r="C68" s="19"/>
      <c r="D68" s="44"/>
      <c r="E68" s="296"/>
      <c r="F68" s="574"/>
      <c r="G68"/>
      <c r="I68" s="46"/>
      <c r="J68" s="46"/>
    </row>
    <row r="70" spans="1:30" s="573" customFormat="1" ht="11.25" customHeight="1">
      <c r="A70" s="573" t="s">
        <v>1920</v>
      </c>
    </row>
    <row r="72" spans="1:30" s="4" customFormat="1" ht="27" customHeight="1">
      <c r="A72" s="167"/>
      <c r="B72" s="167"/>
      <c r="C72" s="167"/>
      <c r="D72" s="43"/>
      <c r="E72" s="575"/>
      <c r="F72" s="679"/>
      <c r="G72" s="808"/>
      <c r="H72" s="686" t="s">
        <v>66</v>
      </c>
      <c r="I72" s="749"/>
      <c r="J72" s="861"/>
      <c r="K72" s="688"/>
      <c r="L72" s="706"/>
      <c r="M72" s="706"/>
      <c r="N72" s="808"/>
      <c r="O72" s="808"/>
      <c r="P72" s="741" t="e">
        <f>DATEDIF(DATEVALUE(N72),DATEVALUE(O72),"y")&amp;"г. "&amp;DATEDIF(DATEVALUE(N72),DATEVALUE(O72),"ym")&amp;"мес. "&amp;DATEVALUE(O72)-DATE(YEAR(DATEVALUE(O72)),MONTH(DATEVALUE(O72)),1)&amp;"дн. "</f>
        <v>#VALUE!</v>
      </c>
      <c r="Q72" s="865"/>
      <c r="R72" s="865"/>
      <c r="S72" s="865"/>
      <c r="T72" s="861"/>
      <c r="U72" s="865"/>
      <c r="V72" s="865"/>
      <c r="W72" s="865"/>
      <c r="X72" s="861"/>
      <c r="Y72" s="688" t="s">
        <v>66</v>
      </c>
      <c r="Z72" s="349"/>
      <c r="AA72" s="29">
        <v>1</v>
      </c>
      <c r="AB72" s="419"/>
      <c r="AD72" s="46" t="s">
        <v>1921</v>
      </c>
    </row>
    <row r="73" spans="1:30" s="4" customFormat="1" ht="10.5" customHeight="1">
      <c r="A73" s="167"/>
      <c r="B73" s="167"/>
      <c r="C73" s="167"/>
      <c r="D73" s="43"/>
      <c r="E73" s="119"/>
      <c r="F73" s="679"/>
      <c r="G73" s="808"/>
      <c r="H73" s="687"/>
      <c r="I73" s="707"/>
      <c r="J73" s="862"/>
      <c r="K73" s="688"/>
      <c r="L73" s="706"/>
      <c r="M73" s="706"/>
      <c r="N73" s="808"/>
      <c r="O73" s="808"/>
      <c r="P73" s="741"/>
      <c r="Q73" s="865"/>
      <c r="R73" s="865"/>
      <c r="S73" s="865"/>
      <c r="T73" s="862"/>
      <c r="U73" s="865"/>
      <c r="V73" s="865"/>
      <c r="W73" s="865"/>
      <c r="X73" s="862"/>
      <c r="Y73" s="737"/>
      <c r="Z73" s="28"/>
      <c r="AA73" s="185"/>
      <c r="AB73" s="26" t="s">
        <v>1922</v>
      </c>
    </row>
    <row r="75" spans="1:30" s="573" customFormat="1" ht="11.25" customHeight="1">
      <c r="A75" s="573" t="s">
        <v>1923</v>
      </c>
    </row>
    <row r="77" spans="1:30" s="4" customFormat="1" ht="27" customHeight="1">
      <c r="A77" s="167"/>
      <c r="B77" s="167"/>
      <c r="C77" s="167"/>
      <c r="D77" s="43"/>
      <c r="E77" s="575"/>
      <c r="F77" s="496"/>
      <c r="G77" s="553"/>
      <c r="H77" s="554"/>
      <c r="I77" s="555"/>
      <c r="J77" s="556"/>
      <c r="K77" s="554"/>
      <c r="L77" s="557"/>
      <c r="M77" s="557"/>
      <c r="N77" s="558"/>
      <c r="O77" s="558"/>
      <c r="P77" s="559"/>
      <c r="Q77" s="560"/>
      <c r="R77" s="560"/>
      <c r="S77" s="560"/>
      <c r="T77" s="556"/>
      <c r="U77" s="560"/>
      <c r="V77" s="560"/>
      <c r="W77" s="560"/>
      <c r="X77" s="556"/>
      <c r="Y77" s="554"/>
      <c r="Z77" s="349"/>
      <c r="AA77" s="29">
        <v>1</v>
      </c>
      <c r="AB77" s="419"/>
      <c r="AD77" s="46" t="s">
        <v>1921</v>
      </c>
    </row>
    <row r="79" spans="1:30" s="573" customFormat="1" ht="11.25" customHeight="1">
      <c r="A79" s="573" t="s">
        <v>1924</v>
      </c>
    </row>
    <row r="80" spans="1:30" ht="17.25" customHeight="1"/>
    <row r="81" spans="1:38" s="4" customFormat="1" ht="21" customHeight="1">
      <c r="A81" s="160"/>
      <c r="B81" s="167"/>
      <c r="C81" s="167"/>
      <c r="D81" s="43"/>
      <c r="E81" s="6"/>
      <c r="F81" s="384" t="e">
        <f>INDEX(IP_MAIN_LIST_NAME_IP,MATCH(A81,IP_MAIN_LIST_IP_ID,0))&amp;" ("&amp;INDEX(IP_MAIN_START_DATE,MATCH(A81,IP_MAIN_LIST_IP_ID,0))&amp;"-"&amp;INDEX(IP_MAIN_END_DATE,MATCH(A81,IP_MAIN_LIST_IP_ID,0))&amp;")"</f>
        <v>#N/A</v>
      </c>
      <c r="G81" s="385"/>
      <c r="H81" s="385"/>
      <c r="I81" s="399"/>
      <c r="J81" s="399"/>
      <c r="K81" s="400"/>
      <c r="L81" s="400"/>
      <c r="M81" s="400"/>
      <c r="N81" s="401"/>
      <c r="O81" s="401"/>
      <c r="P81" s="401"/>
      <c r="Q81" s="401"/>
      <c r="R81" s="401"/>
      <c r="S81" s="401"/>
      <c r="T81" s="401"/>
      <c r="U81" s="401"/>
      <c r="V81" s="401"/>
      <c r="W81" s="401"/>
      <c r="X81" s="401"/>
      <c r="Y81" s="401"/>
      <c r="Z81" s="401"/>
      <c r="AA81" s="401"/>
      <c r="AB81" s="401"/>
      <c r="AC81" s="401"/>
      <c r="AD81" s="401"/>
      <c r="AE81" s="402"/>
      <c r="AF81" s="400"/>
      <c r="AG81" s="400"/>
      <c r="AH81" s="400"/>
      <c r="AI81" s="400"/>
      <c r="AJ81" s="400"/>
      <c r="AK81" s="400"/>
      <c r="AL81" s="417"/>
    </row>
    <row r="82" spans="1:38" s="4" customFormat="1" ht="0.75" customHeight="1">
      <c r="A82" s="167"/>
      <c r="B82" s="167"/>
      <c r="C82" s="167"/>
      <c r="D82" s="43"/>
      <c r="E82" s="6"/>
      <c r="F82" s="741"/>
      <c r="G82" s="661"/>
      <c r="H82" s="874" t="s">
        <v>379</v>
      </c>
      <c r="I82" s="874"/>
      <c r="J82" s="745"/>
      <c r="K82" s="745"/>
      <c r="L82" s="747"/>
      <c r="M82" s="745"/>
      <c r="N82" s="621"/>
      <c r="O82" s="621"/>
      <c r="P82" s="621"/>
      <c r="Q82" s="621"/>
      <c r="R82" s="621"/>
      <c r="S82" s="621"/>
      <c r="T82" s="621"/>
      <c r="U82" s="621"/>
      <c r="V82" s="621"/>
      <c r="W82" s="621"/>
      <c r="X82" s="621"/>
      <c r="Y82" s="621"/>
      <c r="Z82" s="621"/>
      <c r="AA82" s="621"/>
      <c r="AB82" s="621"/>
      <c r="AC82" s="621"/>
      <c r="AD82" s="621"/>
      <c r="AE82" s="621"/>
      <c r="AF82" s="873"/>
      <c r="AG82" s="747"/>
      <c r="AH82" s="747"/>
      <c r="AI82" s="873"/>
      <c r="AJ82" s="747"/>
      <c r="AK82" s="747"/>
      <c r="AL82" s="417"/>
    </row>
    <row r="83" spans="1:38" s="4" customFormat="1" ht="0.75" customHeight="1">
      <c r="A83" s="167"/>
      <c r="B83" s="167"/>
      <c r="C83" s="167"/>
      <c r="D83" s="43"/>
      <c r="E83" s="6"/>
      <c r="F83" s="741"/>
      <c r="G83" s="661"/>
      <c r="H83" s="874"/>
      <c r="I83" s="874"/>
      <c r="J83" s="745"/>
      <c r="K83" s="745"/>
      <c r="L83" s="747"/>
      <c r="M83" s="745"/>
      <c r="N83" s="875"/>
      <c r="O83" s="876"/>
      <c r="P83" s="752"/>
      <c r="Q83" s="745"/>
      <c r="R83" s="745"/>
      <c r="S83" s="745"/>
      <c r="T83" s="745"/>
      <c r="U83" s="745"/>
      <c r="V83" s="745"/>
      <c r="W83" s="745"/>
      <c r="X83" s="745"/>
      <c r="Y83" s="745"/>
      <c r="Z83" s="622"/>
      <c r="AA83" s="623"/>
      <c r="AB83" s="623"/>
      <c r="AC83" s="623"/>
      <c r="AD83" s="623"/>
      <c r="AE83" s="624"/>
      <c r="AF83" s="873"/>
      <c r="AG83" s="747"/>
      <c r="AH83" s="747"/>
      <c r="AI83" s="873"/>
      <c r="AJ83" s="747"/>
      <c r="AK83" s="747"/>
      <c r="AL83" s="417"/>
    </row>
    <row r="84" spans="1:38" s="4" customFormat="1" ht="0.75" customHeight="1">
      <c r="A84" s="167"/>
      <c r="B84" s="167"/>
      <c r="C84" s="167"/>
      <c r="D84" s="43"/>
      <c r="E84" s="6"/>
      <c r="F84" s="741"/>
      <c r="G84" s="661"/>
      <c r="H84" s="874"/>
      <c r="I84" s="874"/>
      <c r="J84" s="745"/>
      <c r="K84" s="745"/>
      <c r="L84" s="747"/>
      <c r="M84" s="745"/>
      <c r="N84" s="875"/>
      <c r="O84" s="876"/>
      <c r="P84" s="863"/>
      <c r="Q84" s="745"/>
      <c r="R84" s="745"/>
      <c r="S84" s="745"/>
      <c r="T84" s="745"/>
      <c r="U84" s="745"/>
      <c r="V84" s="745"/>
      <c r="W84" s="745"/>
      <c r="X84" s="745"/>
      <c r="Y84" s="745"/>
      <c r="Z84" s="625"/>
      <c r="AA84" s="626"/>
      <c r="AB84" s="626"/>
      <c r="AC84" s="627"/>
      <c r="AD84" s="626"/>
      <c r="AE84" s="627"/>
      <c r="AF84" s="873"/>
      <c r="AG84" s="747"/>
      <c r="AH84" s="747"/>
      <c r="AI84" s="873"/>
      <c r="AJ84" s="747"/>
      <c r="AK84" s="747"/>
      <c r="AL84" s="417"/>
    </row>
    <row r="85" spans="1:38" s="4" customFormat="1" ht="0.75" customHeight="1">
      <c r="A85" s="167"/>
      <c r="B85" s="167"/>
      <c r="C85" s="167"/>
      <c r="D85" s="43"/>
      <c r="E85" s="6"/>
      <c r="F85" s="741"/>
      <c r="G85" s="661"/>
      <c r="H85" s="874"/>
      <c r="I85" s="874"/>
      <c r="J85" s="745"/>
      <c r="K85" s="745"/>
      <c r="L85" s="747"/>
      <c r="M85" s="745"/>
      <c r="N85" s="875"/>
      <c r="O85" s="876"/>
      <c r="P85" s="753"/>
      <c r="Q85" s="745"/>
      <c r="R85" s="745"/>
      <c r="S85" s="745"/>
      <c r="T85" s="745"/>
      <c r="U85" s="745"/>
      <c r="V85" s="745"/>
      <c r="W85" s="745"/>
      <c r="X85" s="745"/>
      <c r="Y85" s="745"/>
      <c r="Z85" s="622"/>
      <c r="AA85" s="623"/>
      <c r="AB85" s="628"/>
      <c r="AC85" s="623"/>
      <c r="AD85" s="623"/>
      <c r="AE85" s="629"/>
      <c r="AF85" s="873"/>
      <c r="AG85" s="747"/>
      <c r="AH85" s="747"/>
      <c r="AI85" s="873"/>
      <c r="AJ85" s="747"/>
      <c r="AK85" s="747"/>
      <c r="AL85" s="417"/>
    </row>
    <row r="86" spans="1:38" s="4" customFormat="1" ht="0.75" customHeight="1">
      <c r="A86" s="167"/>
      <c r="B86" s="167"/>
      <c r="C86" s="167"/>
      <c r="D86" s="43"/>
      <c r="E86" s="6"/>
      <c r="F86" s="741"/>
      <c r="G86" s="661"/>
      <c r="H86" s="874"/>
      <c r="I86" s="874"/>
      <c r="J86" s="745"/>
      <c r="K86" s="745"/>
      <c r="L86" s="747"/>
      <c r="M86" s="745"/>
      <c r="N86" s="623"/>
      <c r="O86" s="623"/>
      <c r="P86" s="628"/>
      <c r="Q86" s="623"/>
      <c r="R86" s="623"/>
      <c r="S86" s="623"/>
      <c r="T86" s="623"/>
      <c r="U86" s="623"/>
      <c r="V86" s="623"/>
      <c r="W86" s="623"/>
      <c r="X86" s="623"/>
      <c r="Y86" s="623"/>
      <c r="Z86" s="623"/>
      <c r="AA86" s="623"/>
      <c r="AB86" s="623"/>
      <c r="AC86" s="623"/>
      <c r="AD86" s="623"/>
      <c r="AE86" s="629"/>
      <c r="AF86" s="873"/>
      <c r="AG86" s="747"/>
      <c r="AH86" s="747"/>
      <c r="AI86" s="873"/>
      <c r="AJ86" s="747"/>
      <c r="AK86" s="747"/>
      <c r="AL86" s="417"/>
    </row>
    <row r="87" spans="1:38" s="4" customFormat="1" ht="12" customHeight="1">
      <c r="A87" s="167"/>
      <c r="B87" s="167"/>
      <c r="C87" s="167"/>
      <c r="D87" s="43"/>
      <c r="E87" s="6"/>
      <c r="F87" s="872"/>
      <c r="G87" s="403"/>
      <c r="H87" s="403"/>
      <c r="I87" s="871" t="s">
        <v>1925</v>
      </c>
      <c r="J87" s="871"/>
      <c r="K87" s="871"/>
      <c r="L87" s="388"/>
      <c r="M87" s="388"/>
      <c r="N87" s="389"/>
      <c r="O87" s="389"/>
      <c r="P87" s="389"/>
      <c r="Q87" s="389"/>
      <c r="R87" s="389"/>
      <c r="S87" s="389"/>
      <c r="T87" s="389"/>
      <c r="U87" s="389"/>
      <c r="V87" s="389"/>
      <c r="W87" s="389"/>
      <c r="X87" s="389"/>
      <c r="Y87" s="389"/>
      <c r="Z87" s="389"/>
      <c r="AA87" s="389"/>
      <c r="AB87" s="389"/>
      <c r="AC87" s="389"/>
      <c r="AD87" s="389"/>
      <c r="AE87" s="389"/>
      <c r="AF87" s="389"/>
      <c r="AG87" s="388"/>
      <c r="AH87" s="388"/>
      <c r="AI87" s="389"/>
      <c r="AJ87" s="388"/>
      <c r="AK87" s="389"/>
      <c r="AL87" s="417"/>
    </row>
    <row r="89" spans="1:38" s="573" customFormat="1" ht="11.25" customHeight="1">
      <c r="A89" s="573" t="s">
        <v>1926</v>
      </c>
    </row>
    <row r="91" spans="1:38" s="4" customFormat="1" ht="11.25" customHeight="1">
      <c r="A91" s="167"/>
      <c r="B91" s="167"/>
      <c r="C91" s="167"/>
      <c r="D91" s="43"/>
      <c r="E91" s="6"/>
      <c r="F91" s="577"/>
      <c r="G91" s="578"/>
      <c r="H91" s="578"/>
      <c r="I91" s="502"/>
      <c r="J91" s="502"/>
      <c r="K91" s="555"/>
      <c r="L91" s="502"/>
      <c r="M91" s="578"/>
      <c r="N91" s="864"/>
      <c r="O91" s="796">
        <v>1</v>
      </c>
      <c r="P91" s="686" t="s">
        <v>19</v>
      </c>
      <c r="Q91" s="679" t="s">
        <v>22</v>
      </c>
      <c r="R91" s="679" t="s">
        <v>22</v>
      </c>
      <c r="S91" s="679" t="s">
        <v>22</v>
      </c>
      <c r="T91" s="679" t="s">
        <v>22</v>
      </c>
      <c r="U91" s="679" t="s">
        <v>22</v>
      </c>
      <c r="V91" s="679" t="s">
        <v>22</v>
      </c>
      <c r="W91" s="679" t="s">
        <v>22</v>
      </c>
      <c r="X91" s="679" t="s">
        <v>22</v>
      </c>
      <c r="Y91" s="679"/>
      <c r="Z91" s="390"/>
      <c r="AA91" s="391"/>
      <c r="AB91" s="391"/>
      <c r="AC91" s="395"/>
      <c r="AD91" s="395"/>
      <c r="AE91" s="395"/>
      <c r="AF91" s="579"/>
      <c r="AG91" s="563"/>
      <c r="AH91" s="563"/>
      <c r="AI91" s="579"/>
      <c r="AJ91" s="563"/>
      <c r="AK91" s="616"/>
      <c r="AL91" s="417"/>
    </row>
    <row r="92" spans="1:38" s="4" customFormat="1" ht="11.25" customHeight="1">
      <c r="A92" s="167"/>
      <c r="B92" s="167"/>
      <c r="C92" s="167"/>
      <c r="D92" s="43"/>
      <c r="E92" s="6"/>
      <c r="F92" s="577"/>
      <c r="G92" s="578"/>
      <c r="H92" s="578"/>
      <c r="I92" s="554"/>
      <c r="J92" s="554"/>
      <c r="K92" s="555"/>
      <c r="L92" s="554"/>
      <c r="M92" s="578"/>
      <c r="N92" s="864"/>
      <c r="O92" s="796"/>
      <c r="P92" s="689"/>
      <c r="Q92" s="679"/>
      <c r="R92" s="679"/>
      <c r="S92" s="741"/>
      <c r="T92" s="679"/>
      <c r="U92" s="679"/>
      <c r="V92" s="679"/>
      <c r="W92" s="679"/>
      <c r="X92" s="679"/>
      <c r="Y92" s="679"/>
      <c r="Z92" s="576"/>
      <c r="AA92" s="428">
        <v>1</v>
      </c>
      <c r="AB92" s="394"/>
      <c r="AC92" s="211"/>
      <c r="AD92" s="394">
        <f>AB92</f>
        <v>0</v>
      </c>
      <c r="AE92" s="235"/>
      <c r="AF92" s="555"/>
      <c r="AG92" s="563"/>
      <c r="AH92" s="563"/>
      <c r="AI92" s="555"/>
      <c r="AJ92" s="563"/>
      <c r="AK92" s="616"/>
      <c r="AL92" s="417"/>
    </row>
    <row r="93" spans="1:38" s="4" customFormat="1" ht="11.25" customHeight="1">
      <c r="A93" s="167"/>
      <c r="B93" s="167"/>
      <c r="C93" s="167"/>
      <c r="D93" s="43"/>
      <c r="E93" s="6"/>
      <c r="F93" s="577"/>
      <c r="G93" s="578"/>
      <c r="H93" s="578"/>
      <c r="I93" s="566"/>
      <c r="J93" s="566"/>
      <c r="K93" s="555"/>
      <c r="L93" s="566"/>
      <c r="M93" s="578"/>
      <c r="N93" s="864"/>
      <c r="O93" s="796"/>
      <c r="P93" s="687"/>
      <c r="Q93" s="679"/>
      <c r="R93" s="679"/>
      <c r="S93" s="741"/>
      <c r="T93" s="679"/>
      <c r="U93" s="679"/>
      <c r="V93" s="679"/>
      <c r="W93" s="679"/>
      <c r="X93" s="679"/>
      <c r="Y93" s="679"/>
      <c r="Z93" s="390"/>
      <c r="AA93" s="391"/>
      <c r="AB93" s="37" t="s">
        <v>1927</v>
      </c>
      <c r="AC93" s="395"/>
      <c r="AD93" s="395"/>
      <c r="AE93" s="395"/>
      <c r="AF93" s="580"/>
      <c r="AG93" s="563"/>
      <c r="AH93" s="563"/>
      <c r="AI93" s="580"/>
      <c r="AJ93" s="563"/>
      <c r="AK93" s="616"/>
      <c r="AL93" s="417"/>
    </row>
    <row r="95" spans="1:38" s="573" customFormat="1" ht="11.25" customHeight="1">
      <c r="A95" s="573" t="s">
        <v>1928</v>
      </c>
    </row>
    <row r="97" spans="1:184" s="4" customFormat="1" ht="11.25" customHeight="1">
      <c r="A97" s="167"/>
      <c r="B97" s="167"/>
      <c r="C97" s="167"/>
      <c r="D97" s="43"/>
      <c r="E97" s="6"/>
      <c r="F97" s="578"/>
      <c r="G97" s="578"/>
      <c r="H97" s="578"/>
      <c r="I97" s="578"/>
      <c r="J97" s="578"/>
      <c r="K97" s="578"/>
      <c r="L97" s="578"/>
      <c r="M97" s="578"/>
      <c r="N97" s="578"/>
      <c r="O97" s="578"/>
      <c r="P97" s="578"/>
      <c r="Q97" s="578"/>
      <c r="R97" s="578"/>
      <c r="S97" s="578"/>
      <c r="T97" s="578"/>
      <c r="U97" s="578"/>
      <c r="V97" s="578"/>
      <c r="W97" s="578"/>
      <c r="X97" s="578"/>
      <c r="Y97" s="578"/>
      <c r="Z97" s="581"/>
      <c r="AA97" s="572">
        <v>1</v>
      </c>
      <c r="AB97" s="394"/>
      <c r="AC97" s="211"/>
      <c r="AD97" s="394">
        <f>AB97</f>
        <v>0</v>
      </c>
      <c r="AE97" s="211"/>
      <c r="AF97" s="555"/>
      <c r="AG97" s="563"/>
      <c r="AH97" s="563"/>
      <c r="AI97" s="555"/>
      <c r="AJ97" s="563"/>
      <c r="AK97" s="616"/>
      <c r="AL97" s="417"/>
    </row>
    <row r="99" spans="1:184" s="573" customFormat="1" ht="11.25" customHeight="1">
      <c r="A99" s="573" t="s">
        <v>1929</v>
      </c>
    </row>
    <row r="101" spans="1:184" s="4" customFormat="1" ht="11.25" customHeight="1">
      <c r="A101" s="167"/>
      <c r="B101" s="167"/>
      <c r="C101" s="167"/>
      <c r="D101" s="43"/>
      <c r="E101" s="6"/>
      <c r="F101" s="577"/>
      <c r="G101" s="578"/>
      <c r="H101" s="661" t="s">
        <v>110</v>
      </c>
      <c r="I101" s="739"/>
      <c r="J101" s="688"/>
      <c r="K101" s="706"/>
      <c r="L101" s="688" t="s">
        <v>19</v>
      </c>
      <c r="M101" s="679"/>
      <c r="N101" s="615"/>
      <c r="O101" s="392" t="s">
        <v>379</v>
      </c>
      <c r="P101" s="393"/>
      <c r="Q101" s="393"/>
      <c r="R101" s="393"/>
      <c r="S101" s="393"/>
      <c r="T101" s="393"/>
      <c r="U101" s="393"/>
      <c r="V101" s="393"/>
      <c r="W101" s="393"/>
      <c r="X101" s="393"/>
      <c r="Y101" s="393"/>
      <c r="Z101" s="393"/>
      <c r="AA101" s="393"/>
      <c r="AB101" s="393"/>
      <c r="AC101" s="393"/>
      <c r="AD101" s="393"/>
      <c r="AE101" s="393"/>
      <c r="AF101" s="881"/>
      <c r="AG101" s="737"/>
      <c r="AH101" s="737"/>
      <c r="AI101" s="881"/>
      <c r="AJ101" s="737"/>
      <c r="AK101" s="737"/>
      <c r="AL101" s="417"/>
    </row>
    <row r="102" spans="1:184" s="4" customFormat="1" ht="11.25" customHeight="1">
      <c r="A102" s="167"/>
      <c r="B102" s="167"/>
      <c r="C102" s="167"/>
      <c r="D102" s="43"/>
      <c r="E102" s="6"/>
      <c r="F102" s="577"/>
      <c r="G102" s="578"/>
      <c r="H102" s="661"/>
      <c r="I102" s="739"/>
      <c r="J102" s="688"/>
      <c r="K102" s="706"/>
      <c r="L102" s="688"/>
      <c r="M102" s="679"/>
      <c r="N102" s="864"/>
      <c r="O102" s="882">
        <v>1</v>
      </c>
      <c r="P102" s="686" t="s">
        <v>19</v>
      </c>
      <c r="Q102" s="679" t="s">
        <v>22</v>
      </c>
      <c r="R102" s="679" t="s">
        <v>22</v>
      </c>
      <c r="S102" s="679" t="s">
        <v>22</v>
      </c>
      <c r="T102" s="679" t="s">
        <v>22</v>
      </c>
      <c r="U102" s="679" t="s">
        <v>22</v>
      </c>
      <c r="V102" s="679" t="s">
        <v>22</v>
      </c>
      <c r="W102" s="679" t="s">
        <v>22</v>
      </c>
      <c r="X102" s="679" t="s">
        <v>22</v>
      </c>
      <c r="Y102" s="679"/>
      <c r="Z102" s="390"/>
      <c r="AA102" s="391"/>
      <c r="AB102" s="391"/>
      <c r="AC102" s="395"/>
      <c r="AD102" s="395"/>
      <c r="AE102" s="396"/>
      <c r="AF102" s="881"/>
      <c r="AG102" s="737"/>
      <c r="AH102" s="737"/>
      <c r="AI102" s="881"/>
      <c r="AJ102" s="737"/>
      <c r="AK102" s="737"/>
      <c r="AL102" s="417"/>
    </row>
    <row r="103" spans="1:184" s="4" customFormat="1" ht="11.25" customHeight="1">
      <c r="A103" s="167"/>
      <c r="B103" s="167"/>
      <c r="C103" s="167"/>
      <c r="D103" s="43"/>
      <c r="E103" s="6"/>
      <c r="F103" s="577"/>
      <c r="G103" s="578"/>
      <c r="H103" s="661"/>
      <c r="I103" s="739"/>
      <c r="J103" s="688"/>
      <c r="K103" s="706"/>
      <c r="L103" s="688"/>
      <c r="M103" s="679"/>
      <c r="N103" s="864"/>
      <c r="O103" s="882"/>
      <c r="P103" s="689"/>
      <c r="Q103" s="679"/>
      <c r="R103" s="679"/>
      <c r="S103" s="741"/>
      <c r="T103" s="679"/>
      <c r="U103" s="679"/>
      <c r="V103" s="679"/>
      <c r="W103" s="679"/>
      <c r="X103" s="679"/>
      <c r="Y103" s="679"/>
      <c r="Z103" s="576"/>
      <c r="AA103" s="428">
        <v>1</v>
      </c>
      <c r="AB103" s="394"/>
      <c r="AC103" s="211"/>
      <c r="AD103" s="394">
        <f>AB103</f>
        <v>0</v>
      </c>
      <c r="AE103" s="211"/>
      <c r="AF103" s="881"/>
      <c r="AG103" s="737"/>
      <c r="AH103" s="737"/>
      <c r="AI103" s="881"/>
      <c r="AJ103" s="737"/>
      <c r="AK103" s="737"/>
      <c r="AL103" s="417"/>
    </row>
    <row r="104" spans="1:184" s="4" customFormat="1" ht="11.25" customHeight="1">
      <c r="A104" s="167"/>
      <c r="B104" s="167"/>
      <c r="C104" s="167"/>
      <c r="D104" s="43"/>
      <c r="E104" s="6"/>
      <c r="F104" s="577"/>
      <c r="G104" s="578"/>
      <c r="H104" s="661"/>
      <c r="I104" s="739"/>
      <c r="J104" s="688"/>
      <c r="K104" s="706"/>
      <c r="L104" s="688"/>
      <c r="M104" s="679"/>
      <c r="N104" s="864"/>
      <c r="O104" s="882"/>
      <c r="P104" s="687"/>
      <c r="Q104" s="679"/>
      <c r="R104" s="679"/>
      <c r="S104" s="741"/>
      <c r="T104" s="679"/>
      <c r="U104" s="679"/>
      <c r="V104" s="679"/>
      <c r="W104" s="679"/>
      <c r="X104" s="679"/>
      <c r="Y104" s="679"/>
      <c r="Z104" s="390"/>
      <c r="AA104" s="391"/>
      <c r="AB104" s="37" t="s">
        <v>1927</v>
      </c>
      <c r="AC104" s="395"/>
      <c r="AD104" s="395"/>
      <c r="AE104" s="397"/>
      <c r="AF104" s="881"/>
      <c r="AG104" s="737"/>
      <c r="AH104" s="737"/>
      <c r="AI104" s="881"/>
      <c r="AJ104" s="737"/>
      <c r="AK104" s="737"/>
      <c r="AL104" s="417"/>
    </row>
    <row r="105" spans="1:184" s="4" customFormat="1" ht="11.25" customHeight="1">
      <c r="A105" s="167"/>
      <c r="B105" s="167"/>
      <c r="C105" s="167"/>
      <c r="D105" s="43"/>
      <c r="E105" s="6"/>
      <c r="F105" s="577"/>
      <c r="G105" s="578"/>
      <c r="H105" s="661"/>
      <c r="I105" s="739"/>
      <c r="J105" s="688"/>
      <c r="K105" s="706"/>
      <c r="L105" s="688"/>
      <c r="M105" s="679"/>
      <c r="N105" s="390"/>
      <c r="O105" s="391"/>
      <c r="P105" s="37" t="s">
        <v>1930</v>
      </c>
      <c r="Q105" s="391"/>
      <c r="R105" s="391"/>
      <c r="S105" s="391"/>
      <c r="T105" s="391"/>
      <c r="U105" s="391"/>
      <c r="V105" s="391"/>
      <c r="W105" s="391"/>
      <c r="X105" s="391"/>
      <c r="Y105" s="391"/>
      <c r="Z105" s="391"/>
      <c r="AA105" s="391"/>
      <c r="AB105" s="391"/>
      <c r="AC105" s="391"/>
      <c r="AD105" s="391"/>
      <c r="AE105" s="398"/>
      <c r="AF105" s="881"/>
      <c r="AG105" s="737"/>
      <c r="AH105" s="737"/>
      <c r="AI105" s="881"/>
      <c r="AJ105" s="737"/>
      <c r="AK105" s="737"/>
      <c r="AL105" s="417"/>
    </row>
    <row r="107" spans="1:184" s="573" customFormat="1" ht="11.25" customHeight="1">
      <c r="A107" s="573" t="s">
        <v>1931</v>
      </c>
    </row>
    <row r="108" spans="1:184" ht="17.25" customHeight="1"/>
    <row r="109" spans="1:184" s="38" customFormat="1" ht="21" customHeight="1">
      <c r="A109" s="160"/>
      <c r="B109" s="311"/>
      <c r="E109" s="312" t="s">
        <v>22</v>
      </c>
      <c r="F109" s="383" t="e">
        <f>INDEX(IP_MAIN_LIST_NAME_IP,MATCH(A109,IP_MAIN_LIST_IP_ID,0))&amp;" ("&amp;INDEX(IP_MAIN_START_DATE,MATCH(A109,IP_MAIN_LIST_IP_ID,0))&amp;"-"&amp;INDEX(IP_MAIN_END_DATE,MATCH(A109,IP_MAIN_LIST_IP_ID,0))&amp;")"</f>
        <v>#N/A</v>
      </c>
      <c r="G109" s="408"/>
      <c r="H109" s="409"/>
      <c r="I109" s="409"/>
      <c r="J109" s="409"/>
      <c r="K109" s="409"/>
      <c r="L109" s="409"/>
      <c r="M109" s="409"/>
      <c r="N109" s="409"/>
      <c r="O109" s="408"/>
      <c r="P109" s="408"/>
      <c r="Q109" s="408"/>
      <c r="R109" s="408"/>
      <c r="S109" s="408"/>
      <c r="T109" s="408"/>
      <c r="U109" s="409"/>
      <c r="V109" s="409"/>
      <c r="W109" s="409"/>
      <c r="X109" s="409"/>
      <c r="Y109" s="409"/>
      <c r="Z109" s="409"/>
      <c r="AA109" s="409"/>
      <c r="AB109" s="408"/>
      <c r="AC109" s="409"/>
      <c r="AD109" s="409"/>
      <c r="AE109" s="409"/>
      <c r="AF109" s="409"/>
      <c r="AG109" s="409"/>
      <c r="AH109" s="409"/>
      <c r="AI109" s="409"/>
      <c r="AJ109" s="409"/>
      <c r="AK109" s="409"/>
      <c r="AL109" s="409"/>
      <c r="AM109" s="409"/>
      <c r="AN109" s="409"/>
      <c r="AO109" s="409"/>
      <c r="AP109" s="409"/>
      <c r="AQ109" s="409"/>
      <c r="AR109" s="409"/>
      <c r="AS109" s="409"/>
      <c r="AT109" s="409"/>
      <c r="AU109" s="409"/>
      <c r="AV109" s="409"/>
      <c r="AW109" s="409"/>
      <c r="AX109" s="409"/>
      <c r="AY109" s="409"/>
      <c r="AZ109" s="409"/>
      <c r="BA109" s="409"/>
      <c r="BB109" s="409"/>
      <c r="BC109" s="409"/>
      <c r="BD109" s="409"/>
      <c r="BE109" s="409"/>
      <c r="BF109" s="409"/>
      <c r="BG109" s="409"/>
      <c r="BH109" s="409"/>
      <c r="BI109" s="409"/>
      <c r="BJ109" s="409"/>
      <c r="BK109" s="409"/>
      <c r="BL109" s="409"/>
      <c r="BM109" s="409"/>
      <c r="BN109" s="409"/>
      <c r="BO109" s="409"/>
      <c r="BP109" s="409"/>
      <c r="BQ109" s="409"/>
      <c r="BR109" s="409"/>
      <c r="BS109" s="409"/>
      <c r="BT109" s="409"/>
      <c r="BU109" s="409"/>
      <c r="BV109" s="409"/>
      <c r="BW109" s="409"/>
      <c r="BX109" s="409"/>
      <c r="BY109" s="409"/>
      <c r="BZ109" s="409"/>
      <c r="CA109" s="409"/>
      <c r="CB109" s="409"/>
      <c r="CC109" s="409"/>
      <c r="CD109" s="409"/>
      <c r="CE109" s="409"/>
      <c r="CF109" s="409"/>
      <c r="CG109" s="409"/>
      <c r="CH109" s="409"/>
      <c r="CI109" s="409"/>
      <c r="CJ109" s="409"/>
      <c r="CK109" s="409"/>
      <c r="CL109" s="223"/>
      <c r="CM109" s="223"/>
      <c r="CN109" s="223"/>
      <c r="CO109" s="223"/>
      <c r="CP109" s="223"/>
      <c r="CQ109" s="223"/>
      <c r="CR109" s="223"/>
      <c r="CS109" s="223"/>
      <c r="CT109" s="223"/>
      <c r="CU109" s="223"/>
      <c r="CV109" s="223"/>
      <c r="CW109" s="223"/>
      <c r="CX109" s="223"/>
      <c r="CY109" s="223"/>
      <c r="CZ109" s="223"/>
      <c r="DA109" s="223"/>
      <c r="DB109" s="223"/>
      <c r="DC109" s="223"/>
      <c r="DD109" s="223"/>
      <c r="DE109" s="223"/>
      <c r="DF109" s="223"/>
      <c r="DG109" s="223"/>
      <c r="DH109" s="223"/>
      <c r="DI109" s="223"/>
      <c r="DJ109" s="223"/>
      <c r="DK109" s="223"/>
      <c r="DL109" s="223"/>
      <c r="DM109" s="223"/>
      <c r="DN109" s="223"/>
      <c r="DO109" s="223"/>
      <c r="DP109" s="223"/>
      <c r="DQ109" s="223"/>
      <c r="DR109" s="223"/>
      <c r="DS109" s="223"/>
      <c r="DT109" s="223"/>
      <c r="DU109" s="223"/>
      <c r="DV109" s="223"/>
      <c r="DW109" s="223"/>
      <c r="DX109" s="223"/>
      <c r="DY109" s="223"/>
      <c r="DZ109" s="223"/>
      <c r="EA109" s="223"/>
      <c r="EB109" s="223"/>
      <c r="EC109" s="223"/>
      <c r="ED109" s="223"/>
      <c r="EE109" s="223"/>
      <c r="EF109" s="223"/>
      <c r="EG109" s="223"/>
      <c r="EH109" s="223"/>
      <c r="EI109" s="223"/>
      <c r="EJ109" s="223"/>
      <c r="EK109" s="223"/>
      <c r="EL109" s="223"/>
      <c r="EM109" s="223"/>
      <c r="EN109" s="223"/>
      <c r="EO109" s="223"/>
      <c r="EP109" s="223"/>
      <c r="EQ109" s="223"/>
      <c r="ER109" s="223"/>
      <c r="ES109" s="223"/>
      <c r="ET109" s="223"/>
      <c r="EU109" s="223"/>
      <c r="EV109" s="223"/>
      <c r="EW109" s="223"/>
      <c r="EX109" s="223"/>
      <c r="EY109" s="223"/>
      <c r="EZ109" s="223"/>
      <c r="FA109" s="223"/>
      <c r="FB109" s="223"/>
      <c r="FC109" s="223"/>
      <c r="FD109" s="223"/>
      <c r="FE109" s="223"/>
      <c r="FF109" s="223"/>
      <c r="FG109" s="223"/>
      <c r="FH109" s="223"/>
      <c r="FI109" s="223"/>
      <c r="FJ109" s="223"/>
      <c r="FK109" s="223"/>
      <c r="FL109" s="223"/>
      <c r="FM109" s="223"/>
      <c r="FN109" s="223"/>
      <c r="FO109" s="223"/>
      <c r="FP109" s="223"/>
      <c r="FQ109" s="223"/>
      <c r="FR109" s="223"/>
      <c r="FS109" s="223"/>
      <c r="FT109" s="223"/>
      <c r="FU109" s="223"/>
      <c r="FV109" s="169"/>
      <c r="FW109" s="29"/>
      <c r="FX109" s="23"/>
    </row>
    <row r="110" spans="1:184" s="38" customFormat="1" ht="24.75" customHeight="1">
      <c r="B110" s="311"/>
      <c r="E110"/>
      <c r="F110" s="24">
        <v>1</v>
      </c>
      <c r="G110" s="356"/>
      <c r="H110" s="116"/>
      <c r="I110" s="25"/>
      <c r="J110" s="380"/>
      <c r="K110" s="380"/>
      <c r="L110" s="380"/>
      <c r="M110" s="380"/>
      <c r="N110" s="380"/>
      <c r="O110" s="168"/>
      <c r="P110" s="168"/>
      <c r="Q110" s="168"/>
      <c r="R110" s="168"/>
      <c r="S110" s="168"/>
      <c r="T110" s="168"/>
      <c r="U110" s="168"/>
      <c r="V110" s="168"/>
      <c r="W110" s="168"/>
      <c r="X110" s="168"/>
      <c r="Y110" s="168"/>
      <c r="Z110" s="168"/>
      <c r="AA110" s="168"/>
      <c r="AB110" s="168"/>
      <c r="AC110" s="380"/>
      <c r="AD110" s="380"/>
      <c r="AE110" s="380"/>
      <c r="AF110" s="380"/>
      <c r="AG110" s="380"/>
      <c r="AH110" s="380"/>
      <c r="AI110" s="380"/>
      <c r="AJ110" s="380"/>
      <c r="AK110" s="380"/>
      <c r="AL110" s="380"/>
      <c r="AM110" s="380"/>
      <c r="AN110" s="380"/>
      <c r="AO110" s="380"/>
      <c r="AP110" s="380"/>
      <c r="AQ110" s="380"/>
      <c r="AR110" s="380"/>
      <c r="AS110" s="380"/>
      <c r="AT110" s="380"/>
      <c r="AU110" s="380"/>
      <c r="AV110" s="380"/>
      <c r="AW110" s="380"/>
      <c r="AX110" s="380"/>
      <c r="AY110" s="380"/>
      <c r="AZ110" s="380"/>
      <c r="BA110" s="380"/>
      <c r="BB110" s="380"/>
      <c r="BC110" s="380"/>
      <c r="BD110" s="380"/>
      <c r="BE110" s="380"/>
      <c r="BF110" s="380"/>
      <c r="BG110" s="380"/>
      <c r="BH110" s="380"/>
      <c r="BI110" s="380"/>
      <c r="BJ110" s="380"/>
      <c r="BK110" s="380"/>
      <c r="BL110" s="380"/>
      <c r="BM110" s="380"/>
      <c r="BN110" s="380"/>
      <c r="BO110" s="380"/>
      <c r="BP110" s="380"/>
      <c r="BQ110" s="380"/>
      <c r="BR110" s="380"/>
      <c r="BS110" s="380"/>
      <c r="BT110" s="168"/>
      <c r="BU110" s="168"/>
      <c r="BV110" s="168"/>
      <c r="BW110" s="168"/>
      <c r="BX110" s="168"/>
      <c r="BY110" s="168"/>
      <c r="BZ110" s="168"/>
      <c r="CA110" s="168"/>
      <c r="CB110" s="168"/>
      <c r="CC110" s="168"/>
      <c r="CD110" s="168"/>
      <c r="CE110" s="168"/>
      <c r="CF110" s="168"/>
      <c r="CG110" s="168"/>
      <c r="CH110" s="168"/>
      <c r="CI110" s="168"/>
      <c r="CJ110" s="168"/>
      <c r="CK110" s="168"/>
      <c r="CL110" s="380"/>
      <c r="CM110" s="380"/>
      <c r="CN110" s="380"/>
      <c r="CO110" s="380"/>
      <c r="CP110" s="380"/>
      <c r="CQ110" s="380"/>
      <c r="CR110" s="380"/>
      <c r="CS110" s="380"/>
      <c r="CT110" s="380"/>
      <c r="CU110" s="380"/>
      <c r="CV110" s="380"/>
      <c r="CW110" s="380"/>
      <c r="CX110" s="380"/>
      <c r="CY110" s="168"/>
      <c r="CZ110" s="168"/>
      <c r="DA110" s="168"/>
      <c r="DB110" s="168"/>
      <c r="DC110" s="168"/>
      <c r="DD110" s="168"/>
      <c r="DE110" s="168"/>
      <c r="DF110" s="168"/>
      <c r="DG110" s="168"/>
      <c r="DH110" s="168"/>
      <c r="DI110" s="168"/>
      <c r="DJ110" s="168"/>
      <c r="DK110" s="380"/>
      <c r="DL110" s="380"/>
      <c r="DM110" s="380"/>
      <c r="DN110" s="380"/>
      <c r="DO110" s="380"/>
      <c r="DP110" s="380"/>
      <c r="DQ110" s="380"/>
      <c r="DR110" s="380"/>
      <c r="DS110" s="380"/>
      <c r="DT110" s="380"/>
      <c r="DU110" s="380"/>
      <c r="DV110" s="380"/>
      <c r="DW110" s="380"/>
      <c r="DX110" s="380"/>
      <c r="DY110" s="380"/>
      <c r="DZ110" s="380"/>
      <c r="EA110" s="380"/>
      <c r="EB110" s="380"/>
      <c r="EC110" s="380"/>
      <c r="ED110" s="380"/>
      <c r="EE110" s="380"/>
      <c r="EF110" s="380"/>
      <c r="EG110" s="380"/>
      <c r="EH110" s="380"/>
      <c r="EI110" s="380"/>
      <c r="EJ110" s="380"/>
      <c r="EK110" s="380"/>
      <c r="EL110" s="380"/>
      <c r="EM110" s="380"/>
      <c r="EN110" s="380"/>
      <c r="EO110" s="380"/>
      <c r="EP110" s="380"/>
      <c r="EQ110" s="380"/>
      <c r="ER110" s="380"/>
      <c r="ES110" s="380"/>
      <c r="ET110" s="380"/>
      <c r="EU110" s="380"/>
      <c r="EV110" s="380"/>
      <c r="EW110" s="380"/>
      <c r="EX110" s="380"/>
      <c r="EY110" s="380"/>
      <c r="EZ110" s="380"/>
      <c r="FA110" s="380"/>
      <c r="FB110" s="380"/>
      <c r="FC110" s="380"/>
      <c r="FD110" s="380"/>
      <c r="FE110" s="380"/>
      <c r="FF110" s="380"/>
      <c r="FG110" s="380"/>
      <c r="FH110" s="380"/>
      <c r="FI110" s="380"/>
      <c r="FJ110" s="380"/>
      <c r="FK110" s="380"/>
      <c r="FL110" s="380"/>
      <c r="FM110" s="380"/>
      <c r="FN110" s="380"/>
      <c r="FO110" s="380"/>
      <c r="FP110" s="380"/>
      <c r="FQ110" s="380"/>
      <c r="FR110" s="380"/>
      <c r="FS110" s="380"/>
      <c r="FT110" s="380"/>
      <c r="FU110" s="380"/>
      <c r="FV110" s="380"/>
      <c r="FW110" s="380"/>
      <c r="FX110" s="23"/>
    </row>
    <row r="111" spans="1:184" s="38" customFormat="1" ht="12" customHeight="1">
      <c r="B111" s="311"/>
      <c r="F111" s="410"/>
      <c r="G111" s="411" t="s">
        <v>1932</v>
      </c>
      <c r="H111" s="411"/>
      <c r="I111" s="411"/>
      <c r="J111" s="411"/>
      <c r="K111" s="411"/>
      <c r="L111" s="411"/>
      <c r="M111" s="411"/>
      <c r="N111" s="411"/>
      <c r="O111" s="411"/>
      <c r="P111" s="411"/>
      <c r="Q111" s="411"/>
      <c r="R111" s="411"/>
      <c r="S111" s="411"/>
      <c r="T111" s="411"/>
      <c r="U111" s="411"/>
      <c r="V111" s="411"/>
      <c r="W111" s="411"/>
      <c r="X111" s="411"/>
      <c r="Y111" s="411"/>
      <c r="Z111" s="411"/>
      <c r="AA111" s="411"/>
      <c r="AB111" s="411"/>
      <c r="AC111" s="411"/>
      <c r="AD111" s="411"/>
      <c r="AE111" s="411"/>
      <c r="AF111" s="411"/>
      <c r="AG111" s="411"/>
      <c r="AH111" s="411"/>
      <c r="AI111" s="411"/>
      <c r="AJ111" s="411"/>
      <c r="AK111" s="411"/>
      <c r="AL111" s="411"/>
      <c r="AM111" s="411"/>
      <c r="AN111" s="411"/>
      <c r="AO111" s="411"/>
      <c r="AP111" s="411"/>
      <c r="AQ111" s="411"/>
      <c r="AR111" s="411"/>
      <c r="AS111" s="411"/>
      <c r="AT111" s="411"/>
      <c r="AU111" s="411"/>
      <c r="AV111" s="411"/>
      <c r="AW111" s="411"/>
      <c r="AX111" s="411"/>
      <c r="AY111" s="411"/>
      <c r="AZ111" s="411"/>
      <c r="BA111" s="411"/>
      <c r="BB111" s="411"/>
      <c r="BC111" s="411"/>
      <c r="BD111" s="411"/>
      <c r="BE111" s="411"/>
      <c r="BF111" s="411"/>
      <c r="BG111" s="411"/>
      <c r="BH111" s="411"/>
      <c r="BI111" s="411"/>
      <c r="BJ111" s="411"/>
      <c r="BK111" s="411"/>
      <c r="BL111" s="411"/>
      <c r="BM111" s="411"/>
      <c r="BN111" s="411"/>
      <c r="BO111" s="411"/>
      <c r="BP111" s="411"/>
      <c r="BQ111" s="411"/>
      <c r="BR111" s="411"/>
      <c r="BS111" s="411"/>
      <c r="BT111" s="411"/>
      <c r="BU111" s="411"/>
      <c r="BV111" s="411"/>
      <c r="BW111" s="411"/>
      <c r="BX111" s="411"/>
      <c r="BY111" s="411"/>
      <c r="BZ111" s="411"/>
      <c r="CA111" s="411"/>
      <c r="CB111" s="411"/>
      <c r="CC111" s="411"/>
      <c r="CD111" s="411"/>
      <c r="CE111" s="411"/>
      <c r="CF111" s="411"/>
      <c r="CG111" s="411"/>
      <c r="CH111" s="411"/>
      <c r="CI111" s="411"/>
      <c r="CJ111" s="411"/>
      <c r="CK111" s="411"/>
      <c r="CL111" s="411"/>
      <c r="CM111" s="411"/>
      <c r="CN111" s="411"/>
      <c r="CO111" s="411"/>
      <c r="CP111" s="411"/>
      <c r="CQ111" s="411"/>
      <c r="CR111" s="411"/>
      <c r="CS111" s="411"/>
      <c r="CT111" s="411"/>
      <c r="CU111" s="411"/>
      <c r="CV111" s="411"/>
      <c r="CW111" s="411"/>
      <c r="CX111" s="411"/>
      <c r="CY111" s="411"/>
      <c r="CZ111" s="411"/>
      <c r="DA111" s="411"/>
      <c r="DB111" s="411"/>
      <c r="DC111" s="411"/>
      <c r="DD111" s="411"/>
      <c r="DE111" s="411"/>
      <c r="DF111" s="411"/>
      <c r="DG111" s="411"/>
      <c r="DH111" s="411"/>
      <c r="DI111" s="411"/>
      <c r="DJ111" s="411"/>
      <c r="DK111" s="411"/>
      <c r="DL111" s="411"/>
      <c r="DM111" s="411"/>
      <c r="DN111" s="411"/>
      <c r="DO111" s="411"/>
      <c r="DP111" s="411"/>
      <c r="DQ111" s="411"/>
      <c r="DR111" s="411"/>
      <c r="DS111" s="411"/>
      <c r="DT111" s="411"/>
      <c r="DU111" s="411"/>
      <c r="DV111" s="411"/>
      <c r="DW111" s="411"/>
      <c r="DX111" s="411"/>
      <c r="DY111" s="411"/>
      <c r="DZ111" s="411"/>
      <c r="EA111" s="411"/>
      <c r="EB111" s="411"/>
      <c r="EC111" s="411"/>
      <c r="ED111" s="411"/>
      <c r="EE111" s="411"/>
      <c r="EF111" s="411"/>
      <c r="EG111" s="411"/>
      <c r="EH111" s="411"/>
      <c r="EI111" s="411"/>
      <c r="EJ111" s="411"/>
      <c r="EK111" s="411"/>
      <c r="EL111" s="411"/>
      <c r="EM111" s="411"/>
      <c r="EN111" s="411"/>
      <c r="EO111" s="411"/>
      <c r="EP111" s="411"/>
      <c r="EQ111" s="411"/>
      <c r="ER111" s="411"/>
      <c r="ES111" s="411"/>
      <c r="ET111" s="411"/>
      <c r="EU111" s="411"/>
      <c r="EV111" s="411"/>
      <c r="EW111" s="411"/>
      <c r="EX111" s="411"/>
      <c r="EY111" s="411"/>
      <c r="EZ111" s="411"/>
      <c r="FA111" s="411"/>
      <c r="FB111" s="411"/>
      <c r="FC111" s="411"/>
      <c r="FD111" s="411"/>
      <c r="FE111" s="411"/>
      <c r="FF111" s="411"/>
      <c r="FG111" s="411"/>
      <c r="FH111" s="411"/>
      <c r="FI111" s="411"/>
      <c r="FJ111" s="411"/>
      <c r="FK111" s="411"/>
      <c r="FL111" s="411"/>
      <c r="FM111" s="411"/>
      <c r="FN111" s="411"/>
      <c r="FO111" s="411"/>
      <c r="FP111" s="411"/>
      <c r="FQ111" s="411"/>
      <c r="FR111" s="411"/>
      <c r="FS111" s="411"/>
      <c r="FT111" s="411"/>
      <c r="FU111" s="411"/>
      <c r="FV111" s="411"/>
      <c r="FW111" s="412"/>
      <c r="FX111" s="4"/>
      <c r="FY111" s="39"/>
      <c r="FZ111" s="39"/>
      <c r="GA111" s="39"/>
      <c r="GB111" s="39"/>
    </row>
    <row r="113" spans="1:83" s="573" customFormat="1" ht="11.25" customHeight="1">
      <c r="A113" s="573" t="s">
        <v>1933</v>
      </c>
    </row>
    <row r="115" spans="1:83" ht="15" customHeight="1">
      <c r="A115" s="22"/>
      <c r="D115" s="673" t="s">
        <v>110</v>
      </c>
      <c r="E115" s="728" t="s">
        <v>106</v>
      </c>
      <c r="F115" s="733"/>
      <c r="G115" s="734"/>
      <c r="H115" s="808" t="str">
        <f>IF(A115="","",INDEX(DIFFERENTIATION_UNMERGE_VD,MATCH(A115,DIFFERENTIATION_ID_DIFF,0)))</f>
        <v/>
      </c>
      <c r="I115" s="808"/>
      <c r="J115" s="808"/>
      <c r="K115" s="808"/>
      <c r="L115" s="808"/>
      <c r="M115" s="808"/>
      <c r="N115" s="808"/>
      <c r="O115" s="808"/>
      <c r="P115" s="808"/>
      <c r="Q115" s="808"/>
      <c r="R115" s="808"/>
      <c r="S115" s="169"/>
      <c r="T115" s="89"/>
      <c r="U115" s="46"/>
      <c r="V115" s="46"/>
      <c r="W115" s="43"/>
      <c r="X115" s="43"/>
      <c r="Y115" s="43"/>
      <c r="Z115" s="43"/>
      <c r="AA115" s="46"/>
      <c r="AB115" s="43"/>
      <c r="AC115" s="732"/>
      <c r="AD115" s="43"/>
      <c r="AE115" s="43" t="s">
        <v>22</v>
      </c>
      <c r="AF115" s="43"/>
      <c r="AG115" s="135" t="s">
        <v>612</v>
      </c>
      <c r="AH115" s="200">
        <v>3</v>
      </c>
      <c r="AI115" s="46"/>
      <c r="AJ115" s="46"/>
      <c r="AK115" s="46"/>
      <c r="AL115" s="46"/>
      <c r="AM115" s="46"/>
      <c r="AN115" s="46"/>
      <c r="AO115" s="46"/>
      <c r="AP115" s="46"/>
      <c r="AQ115" s="46"/>
      <c r="AR115" s="46"/>
      <c r="AS115" s="46"/>
      <c r="AT115" s="46"/>
      <c r="AU115" s="46"/>
      <c r="AV115" s="46"/>
      <c r="AW115" s="46"/>
      <c r="AX115" s="46"/>
      <c r="AY115" s="46"/>
      <c r="AZ115" s="46"/>
      <c r="BA115" s="46"/>
      <c r="BB115" s="46"/>
      <c r="BC115" s="46"/>
      <c r="BD115" s="46"/>
      <c r="BE115" s="46"/>
      <c r="BF115" s="46"/>
      <c r="BG115" s="46"/>
      <c r="BH115" s="46"/>
      <c r="BI115" s="46"/>
      <c r="BJ115" s="46"/>
      <c r="BK115" s="46"/>
      <c r="BL115" s="46"/>
      <c r="BM115" s="46"/>
      <c r="BN115" s="46"/>
      <c r="BO115" s="46"/>
      <c r="BP115" s="46"/>
      <c r="BQ115" s="46"/>
      <c r="BR115" s="46"/>
      <c r="BS115" s="46"/>
      <c r="BT115" s="46"/>
      <c r="BU115" s="46"/>
      <c r="BV115" s="43"/>
      <c r="BW115" s="43"/>
      <c r="BX115" s="43"/>
      <c r="BY115" s="43"/>
      <c r="BZ115" s="43"/>
      <c r="CA115" s="43"/>
      <c r="CB115" s="43"/>
      <c r="CC115" s="43"/>
      <c r="CD115" s="43"/>
      <c r="CE115" s="43"/>
    </row>
    <row r="116" spans="1:83" ht="15" customHeight="1">
      <c r="A116" s="22"/>
      <c r="D116" s="705"/>
      <c r="E116" s="728" t="s">
        <v>567</v>
      </c>
      <c r="F116" s="733"/>
      <c r="G116" s="734"/>
      <c r="H116" s="808" t="str">
        <f>IF(A115="","",INDEX(DIFFERENTIATION_UNMERGE_AREA,MATCH(A115,DIFFERENTIATION_ID_DIFF,0)))</f>
        <v/>
      </c>
      <c r="I116" s="808"/>
      <c r="J116" s="808"/>
      <c r="K116" s="808"/>
      <c r="L116" s="808"/>
      <c r="M116" s="808"/>
      <c r="N116" s="808"/>
      <c r="O116" s="808"/>
      <c r="P116" s="808"/>
      <c r="Q116" s="808"/>
      <c r="R116" s="808"/>
      <c r="S116" s="169"/>
      <c r="T116" s="89"/>
      <c r="U116" s="46"/>
      <c r="V116" s="46"/>
      <c r="W116" s="43"/>
      <c r="X116" s="43"/>
      <c r="Y116" s="43"/>
      <c r="Z116" s="43"/>
      <c r="AA116" s="46"/>
      <c r="AB116" s="43"/>
      <c r="AC116" s="732"/>
      <c r="AD116" s="43"/>
      <c r="AE116" s="43"/>
      <c r="AF116" s="43"/>
      <c r="AG116" s="135"/>
      <c r="AH116" s="200"/>
      <c r="AI116" s="46"/>
      <c r="AJ116" s="46"/>
      <c r="AK116" s="46"/>
      <c r="AL116" s="46"/>
      <c r="AM116" s="46"/>
      <c r="AN116" s="46"/>
      <c r="AO116" s="46"/>
      <c r="AP116" s="46"/>
      <c r="AQ116" s="46"/>
      <c r="AR116" s="46"/>
      <c r="AS116" s="46"/>
      <c r="AT116" s="46"/>
      <c r="AU116" s="46"/>
      <c r="AV116" s="46"/>
      <c r="AW116" s="46"/>
      <c r="AX116" s="46"/>
      <c r="AY116" s="46"/>
      <c r="AZ116" s="46"/>
      <c r="BA116" s="46"/>
      <c r="BB116" s="46"/>
      <c r="BC116" s="46"/>
      <c r="BD116" s="46"/>
      <c r="BE116" s="46"/>
      <c r="BF116" s="46"/>
      <c r="BG116" s="46"/>
      <c r="BH116" s="46"/>
      <c r="BI116" s="46"/>
      <c r="BJ116" s="46"/>
      <c r="BK116" s="46"/>
      <c r="BL116" s="46"/>
      <c r="BM116" s="46"/>
      <c r="BN116" s="46"/>
      <c r="BO116" s="46"/>
      <c r="BP116" s="46"/>
      <c r="BQ116" s="46"/>
      <c r="BR116" s="46"/>
      <c r="BS116" s="46"/>
      <c r="BT116" s="46"/>
      <c r="BU116" s="46"/>
      <c r="BV116" s="43"/>
      <c r="BW116" s="43"/>
      <c r="BX116" s="43"/>
      <c r="BY116" s="43"/>
      <c r="BZ116" s="43"/>
      <c r="CA116" s="43"/>
      <c r="CB116" s="43"/>
      <c r="CC116" s="43"/>
      <c r="CD116" s="43"/>
      <c r="CE116" s="43"/>
    </row>
    <row r="117" spans="1:83" ht="15" customHeight="1">
      <c r="A117" s="22"/>
      <c r="D117" s="705"/>
      <c r="E117" s="728" t="s">
        <v>568</v>
      </c>
      <c r="F117" s="733"/>
      <c r="G117" s="734"/>
      <c r="H117" s="808" t="str">
        <f>IF(A115="","",INDEX(DIFFERENTIATION_UNMERGE_SYSTEM,MATCH(A115,DIFFERENTIATION_ID_DIFF,0)))</f>
        <v/>
      </c>
      <c r="I117" s="808"/>
      <c r="J117" s="808"/>
      <c r="K117" s="808"/>
      <c r="L117" s="808"/>
      <c r="M117" s="808"/>
      <c r="N117" s="808"/>
      <c r="O117" s="808"/>
      <c r="P117" s="808"/>
      <c r="Q117" s="808"/>
      <c r="R117" s="808"/>
      <c r="S117" s="169"/>
      <c r="T117" s="89"/>
      <c r="U117" s="46"/>
      <c r="V117" s="46"/>
      <c r="W117" s="43"/>
      <c r="X117" s="43"/>
      <c r="Y117" s="43"/>
      <c r="Z117" s="43"/>
      <c r="AA117" s="46"/>
      <c r="AB117" s="43"/>
      <c r="AC117" s="732"/>
      <c r="AD117" s="43"/>
      <c r="AE117" s="43"/>
      <c r="AF117" s="43"/>
      <c r="AG117" s="135"/>
      <c r="AH117" s="200"/>
      <c r="AI117" s="46"/>
      <c r="AJ117" s="46"/>
      <c r="AK117" s="46"/>
      <c r="AL117" s="46"/>
      <c r="AM117" s="46"/>
      <c r="AN117" s="46"/>
      <c r="AO117" s="46"/>
      <c r="AP117" s="46"/>
      <c r="AQ117" s="46"/>
      <c r="AR117" s="46"/>
      <c r="AS117" s="46"/>
      <c r="AT117" s="46"/>
      <c r="AU117" s="46"/>
      <c r="AV117" s="46"/>
      <c r="AW117" s="46"/>
      <c r="AX117" s="46"/>
      <c r="AY117" s="46"/>
      <c r="AZ117" s="46"/>
      <c r="BA117" s="46"/>
      <c r="BB117" s="46"/>
      <c r="BC117" s="46"/>
      <c r="BD117" s="46"/>
      <c r="BE117" s="46"/>
      <c r="BF117" s="46"/>
      <c r="BG117" s="46"/>
      <c r="BH117" s="46"/>
      <c r="BI117" s="46"/>
      <c r="BJ117" s="46"/>
      <c r="BK117" s="46"/>
      <c r="BL117" s="46"/>
      <c r="BM117" s="46"/>
      <c r="BN117" s="46"/>
      <c r="BO117" s="46"/>
      <c r="BP117" s="46"/>
      <c r="BQ117" s="46"/>
      <c r="BR117" s="46"/>
      <c r="BS117" s="46"/>
      <c r="BT117" s="46"/>
      <c r="BU117" s="46"/>
      <c r="BV117" s="43"/>
      <c r="BW117" s="43"/>
      <c r="BX117" s="43"/>
      <c r="BY117" s="43"/>
      <c r="BZ117" s="43"/>
      <c r="CA117" s="43"/>
      <c r="CB117" s="43"/>
      <c r="CC117" s="43"/>
      <c r="CD117" s="43"/>
      <c r="CE117" s="43"/>
    </row>
    <row r="118" spans="1:83" ht="24.75" customHeight="1">
      <c r="A118" s="43"/>
      <c r="B118" s="43"/>
      <c r="C118" s="22"/>
      <c r="D118" s="705"/>
      <c r="E118" s="676" t="s">
        <v>613</v>
      </c>
      <c r="F118" s="676"/>
      <c r="G118" s="676"/>
      <c r="H118" s="676"/>
      <c r="I118" s="676"/>
      <c r="J118" s="676"/>
      <c r="K118" s="676"/>
      <c r="L118" s="676"/>
      <c r="M118" s="676"/>
      <c r="N118" s="676"/>
      <c r="O118" s="676"/>
      <c r="P118" s="676"/>
      <c r="Q118" s="177">
        <f>SUMIF(T119:T120,"i",Q119:Q120)</f>
        <v>0</v>
      </c>
      <c r="R118" s="339"/>
      <c r="S118" s="29" t="s">
        <v>614</v>
      </c>
      <c r="T118" s="89" t="s">
        <v>615</v>
      </c>
      <c r="U118" s="748">
        <v>1</v>
      </c>
      <c r="V118" s="748" t="s">
        <v>578</v>
      </c>
      <c r="W118" s="43"/>
      <c r="X118" s="43"/>
      <c r="Y118" s="43"/>
      <c r="Z118" s="43"/>
      <c r="AA118" s="46"/>
      <c r="AB118" s="43"/>
      <c r="AC118" s="732"/>
      <c r="AD118" s="43"/>
      <c r="AE118" s="43"/>
      <c r="AF118" s="43"/>
      <c r="AG118" s="46"/>
      <c r="AH118" s="46"/>
      <c r="AI118" s="46"/>
      <c r="AJ118" s="46"/>
      <c r="AK118" s="46"/>
      <c r="AL118" s="46"/>
      <c r="AM118" s="46"/>
      <c r="AN118" s="46"/>
      <c r="AO118" s="46"/>
      <c r="AP118" s="46"/>
      <c r="AQ118" s="46"/>
      <c r="AR118" s="46"/>
      <c r="AS118" s="46"/>
      <c r="AT118" s="46"/>
      <c r="AU118" s="46"/>
      <c r="AV118" s="46"/>
      <c r="AW118" s="46"/>
      <c r="AX118" s="46"/>
      <c r="AY118" s="46"/>
      <c r="AZ118" s="46"/>
      <c r="BA118" s="46"/>
      <c r="BB118" s="46"/>
      <c r="BC118" s="46"/>
      <c r="BD118" s="46"/>
      <c r="BE118" s="46"/>
      <c r="BF118" s="46"/>
      <c r="BG118" s="46"/>
      <c r="BH118" s="46"/>
      <c r="BI118" s="46"/>
      <c r="BJ118" s="46"/>
      <c r="BK118" s="46"/>
      <c r="BL118" s="46"/>
      <c r="BM118" s="46"/>
      <c r="BN118" s="46"/>
      <c r="BO118" s="46"/>
      <c r="BP118" s="46"/>
      <c r="BQ118" s="46"/>
      <c r="BR118" s="46"/>
      <c r="BS118" s="46"/>
      <c r="BT118" s="46"/>
      <c r="BU118" s="46"/>
      <c r="BV118" s="43"/>
      <c r="BW118" s="43"/>
      <c r="BX118" s="43"/>
      <c r="BY118" s="43"/>
      <c r="BZ118" s="43"/>
      <c r="CA118" s="43"/>
      <c r="CB118" s="43"/>
      <c r="CC118" s="43"/>
      <c r="CD118" s="43"/>
      <c r="CE118" s="43"/>
    </row>
    <row r="119" spans="1:83" ht="11.25" hidden="1" customHeight="1">
      <c r="A119" s="46"/>
      <c r="B119" s="46"/>
      <c r="C119" s="46"/>
      <c r="D119" s="705"/>
      <c r="E119" s="174"/>
      <c r="F119" s="174">
        <v>0</v>
      </c>
      <c r="G119" s="174"/>
      <c r="H119" s="174"/>
      <c r="I119" s="174"/>
      <c r="J119" s="174"/>
      <c r="K119" s="174"/>
      <c r="L119" s="174"/>
      <c r="M119" s="174"/>
      <c r="N119" s="174"/>
      <c r="O119" s="174"/>
      <c r="P119" s="174"/>
      <c r="Q119" s="174"/>
      <c r="R119" s="174"/>
      <c r="S119" s="174"/>
      <c r="T119" s="89"/>
      <c r="U119" s="748"/>
      <c r="V119" s="748"/>
      <c r="W119" s="46"/>
      <c r="X119" s="46"/>
      <c r="Y119" s="46"/>
      <c r="Z119" s="46"/>
      <c r="AA119" s="46"/>
      <c r="AB119" s="43"/>
      <c r="AC119" s="732"/>
      <c r="AD119" s="43"/>
      <c r="AE119" s="43"/>
      <c r="AF119" s="43"/>
      <c r="AG119" s="46"/>
      <c r="AH119" s="46"/>
      <c r="AI119" s="46"/>
      <c r="AJ119" s="46"/>
      <c r="AK119" s="46"/>
      <c r="AL119" s="46"/>
      <c r="AM119" s="46"/>
      <c r="AN119" s="46"/>
      <c r="AO119" s="46"/>
      <c r="AP119" s="46"/>
      <c r="AQ119" s="46"/>
      <c r="AR119" s="46"/>
      <c r="AS119" s="46"/>
      <c r="AT119" s="46"/>
      <c r="AU119" s="46"/>
      <c r="AV119" s="46"/>
      <c r="AW119" s="46"/>
      <c r="AX119" s="46"/>
      <c r="AY119" s="46"/>
      <c r="AZ119" s="46"/>
      <c r="BA119" s="46"/>
      <c r="BB119" s="46"/>
      <c r="BC119" s="46"/>
      <c r="BD119" s="46"/>
      <c r="BE119" s="46"/>
      <c r="BF119" s="46"/>
      <c r="BG119" s="46"/>
      <c r="BH119" s="46"/>
      <c r="BI119" s="46"/>
      <c r="BJ119" s="46"/>
      <c r="BK119" s="46"/>
      <c r="BL119" s="46"/>
      <c r="BM119" s="46"/>
      <c r="BN119" s="46"/>
      <c r="BO119" s="46"/>
      <c r="BP119" s="46"/>
      <c r="BQ119" s="46"/>
      <c r="BR119" s="46"/>
      <c r="BS119" s="46"/>
      <c r="BT119" s="46"/>
      <c r="BU119" s="46"/>
      <c r="BV119" s="46"/>
      <c r="BW119" s="46"/>
      <c r="BX119" s="46"/>
      <c r="BY119" s="46"/>
      <c r="BZ119" s="46"/>
      <c r="CA119" s="46"/>
      <c r="CB119" s="46"/>
      <c r="CC119" s="46"/>
      <c r="CD119" s="46"/>
      <c r="CE119" s="46"/>
    </row>
    <row r="120" spans="1:83" ht="11.25" customHeight="1">
      <c r="A120" s="43"/>
      <c r="B120" s="43"/>
      <c r="C120" s="22"/>
      <c r="D120" s="705"/>
      <c r="E120" s="98" t="s">
        <v>22</v>
      </c>
      <c r="F120" s="37" t="s">
        <v>22</v>
      </c>
      <c r="G120" s="37" t="s">
        <v>618</v>
      </c>
      <c r="H120" s="37" t="s">
        <v>22</v>
      </c>
      <c r="I120" s="37"/>
      <c r="J120" s="37"/>
      <c r="K120" s="37"/>
      <c r="L120" s="37"/>
      <c r="M120" s="37"/>
      <c r="N120" s="37"/>
      <c r="O120" s="37"/>
      <c r="P120" s="37"/>
      <c r="Q120" s="37"/>
      <c r="R120" s="26"/>
      <c r="S120" s="207"/>
      <c r="T120" s="89"/>
      <c r="U120" s="748"/>
      <c r="V120" s="748"/>
      <c r="W120" s="43"/>
      <c r="X120" s="43"/>
      <c r="Y120" s="43"/>
      <c r="Z120" s="43"/>
      <c r="AA120" s="46"/>
      <c r="AB120" s="43"/>
      <c r="AC120" s="732"/>
      <c r="AD120" s="43"/>
      <c r="AE120" s="43"/>
      <c r="AF120" s="43"/>
      <c r="AG120" s="46"/>
      <c r="AH120" s="46"/>
      <c r="AI120" s="46"/>
      <c r="AJ120" s="46"/>
      <c r="AK120" s="46"/>
      <c r="AL120" s="46"/>
      <c r="AM120" s="46"/>
      <c r="AN120" s="46"/>
      <c r="AO120" s="46"/>
      <c r="AP120" s="46"/>
      <c r="AQ120" s="46"/>
      <c r="AR120" s="46"/>
      <c r="AS120" s="46"/>
      <c r="AT120" s="46"/>
      <c r="AU120" s="46"/>
      <c r="AV120" s="46"/>
      <c r="AW120" s="46"/>
      <c r="AX120" s="46"/>
      <c r="AY120" s="46"/>
      <c r="AZ120" s="46"/>
      <c r="BA120" s="46"/>
      <c r="BB120" s="46"/>
      <c r="BC120" s="46"/>
      <c r="BD120" s="46"/>
      <c r="BE120" s="46"/>
      <c r="BF120" s="46"/>
      <c r="BG120" s="46"/>
      <c r="BH120" s="46"/>
      <c r="BI120" s="46"/>
      <c r="BJ120" s="46"/>
      <c r="BK120" s="46"/>
      <c r="BL120" s="46"/>
      <c r="BM120" s="46"/>
      <c r="BN120" s="46"/>
      <c r="BO120" s="46"/>
      <c r="BP120" s="46"/>
      <c r="BQ120" s="46"/>
      <c r="BR120" s="46"/>
      <c r="BS120" s="46"/>
      <c r="BT120" s="46"/>
      <c r="BU120" s="46"/>
      <c r="BV120" s="43"/>
      <c r="BW120" s="43"/>
      <c r="BX120" s="43"/>
      <c r="BY120" s="43"/>
      <c r="BZ120" s="43"/>
      <c r="CA120" s="43"/>
      <c r="CB120" s="43"/>
      <c r="CC120" s="43"/>
      <c r="CD120" s="43"/>
      <c r="CE120" s="43"/>
    </row>
    <row r="121" spans="1:83" ht="24.75" customHeight="1">
      <c r="A121" s="43"/>
      <c r="B121" s="43"/>
      <c r="C121" s="22"/>
      <c r="D121" s="705"/>
      <c r="E121" s="676" t="s">
        <v>616</v>
      </c>
      <c r="F121" s="676"/>
      <c r="G121" s="676"/>
      <c r="H121" s="676"/>
      <c r="I121" s="676"/>
      <c r="J121" s="676"/>
      <c r="K121" s="676"/>
      <c r="L121" s="676"/>
      <c r="M121" s="676"/>
      <c r="N121" s="676"/>
      <c r="O121" s="676"/>
      <c r="P121" s="676"/>
      <c r="Q121" s="177">
        <f>SUMIF(T122:T123,"i",Q122:Q123)</f>
        <v>0</v>
      </c>
      <c r="R121" s="339"/>
      <c r="S121" s="29" t="s">
        <v>617</v>
      </c>
      <c r="T121" s="89" t="s">
        <v>615</v>
      </c>
      <c r="U121" s="748">
        <v>1</v>
      </c>
      <c r="V121" s="748" t="s">
        <v>578</v>
      </c>
      <c r="W121" s="43"/>
      <c r="X121" s="43"/>
      <c r="Y121" s="43"/>
      <c r="Z121" s="43"/>
      <c r="AA121" s="46"/>
      <c r="AB121" s="43"/>
      <c r="AC121" s="43"/>
      <c r="AD121" s="43"/>
      <c r="AE121" s="43"/>
      <c r="AF121" s="43"/>
      <c r="AG121" s="46"/>
      <c r="AH121" s="46"/>
      <c r="AI121" s="46"/>
      <c r="AJ121" s="46"/>
      <c r="AK121" s="46"/>
      <c r="AL121" s="46"/>
      <c r="AM121" s="46"/>
      <c r="AN121" s="46"/>
      <c r="AO121" s="46"/>
      <c r="AP121" s="46"/>
      <c r="AQ121" s="46"/>
      <c r="AR121" s="46"/>
      <c r="AS121" s="46"/>
      <c r="AT121" s="46"/>
      <c r="AU121" s="46"/>
      <c r="AV121" s="46"/>
      <c r="AW121" s="46"/>
      <c r="AX121" s="46"/>
      <c r="AY121" s="46"/>
      <c r="AZ121" s="46"/>
      <c r="BA121" s="46"/>
      <c r="BB121" s="46"/>
      <c r="BC121" s="46"/>
      <c r="BD121" s="46"/>
      <c r="BE121" s="46"/>
      <c r="BF121" s="46"/>
      <c r="BG121" s="46"/>
      <c r="BH121" s="46"/>
      <c r="BI121" s="46"/>
      <c r="BJ121" s="46"/>
      <c r="BK121" s="46"/>
      <c r="BL121" s="46"/>
      <c r="BM121" s="46"/>
      <c r="BN121" s="46"/>
      <c r="BO121" s="46"/>
      <c r="BP121" s="46"/>
      <c r="BQ121" s="46"/>
      <c r="BR121" s="46"/>
      <c r="BS121" s="46"/>
      <c r="BT121" s="46"/>
      <c r="BU121" s="46"/>
      <c r="BV121" s="43"/>
      <c r="BW121" s="43"/>
      <c r="BX121" s="43"/>
      <c r="BY121" s="43"/>
      <c r="BZ121" s="43"/>
      <c r="CA121" s="43"/>
      <c r="CB121" s="43"/>
      <c r="CC121" s="43"/>
      <c r="CD121" s="43"/>
      <c r="CE121" s="43"/>
    </row>
    <row r="122" spans="1:83" ht="11.25" hidden="1" customHeight="1">
      <c r="A122" s="46"/>
      <c r="B122" s="46"/>
      <c r="C122" s="46"/>
      <c r="D122" s="705"/>
      <c r="E122" s="174"/>
      <c r="F122" s="174">
        <v>0</v>
      </c>
      <c r="G122" s="174"/>
      <c r="H122" s="174"/>
      <c r="I122" s="174"/>
      <c r="J122" s="174"/>
      <c r="K122" s="174"/>
      <c r="L122" s="174"/>
      <c r="M122" s="174"/>
      <c r="N122" s="174"/>
      <c r="O122" s="174"/>
      <c r="P122" s="174"/>
      <c r="Q122" s="174"/>
      <c r="R122" s="174"/>
      <c r="S122" s="174"/>
      <c r="T122" s="89"/>
      <c r="U122" s="748"/>
      <c r="V122" s="748"/>
      <c r="W122" s="46"/>
      <c r="X122" s="46"/>
      <c r="Y122" s="46"/>
      <c r="Z122" s="46"/>
      <c r="AA122" s="46"/>
      <c r="AB122" s="43"/>
      <c r="AC122" s="43"/>
      <c r="AD122" s="43"/>
      <c r="AE122" s="43"/>
      <c r="AF122" s="43"/>
      <c r="AG122" s="46"/>
      <c r="AH122" s="46"/>
      <c r="AI122" s="46"/>
      <c r="AJ122" s="46"/>
      <c r="AK122" s="46"/>
      <c r="AL122" s="46"/>
      <c r="AM122" s="46"/>
      <c r="AN122" s="46"/>
      <c r="AO122" s="46"/>
      <c r="AP122" s="46"/>
      <c r="AQ122" s="46"/>
      <c r="AR122" s="46"/>
      <c r="AS122" s="46"/>
      <c r="AT122" s="46"/>
      <c r="AU122" s="46"/>
      <c r="AV122" s="46"/>
      <c r="AW122" s="46"/>
      <c r="AX122" s="46"/>
      <c r="AY122" s="46"/>
      <c r="AZ122" s="46"/>
      <c r="BA122" s="46"/>
      <c r="BB122" s="46"/>
      <c r="BC122" s="46"/>
      <c r="BD122" s="46"/>
      <c r="BE122" s="46"/>
      <c r="BF122" s="46"/>
      <c r="BG122" s="46"/>
      <c r="BH122" s="46"/>
      <c r="BI122" s="46"/>
      <c r="BJ122" s="46"/>
      <c r="BK122" s="46"/>
      <c r="BL122" s="46"/>
      <c r="BM122" s="46"/>
      <c r="BN122" s="46"/>
      <c r="BO122" s="46"/>
      <c r="BP122" s="46"/>
      <c r="BQ122" s="46"/>
      <c r="BR122" s="46"/>
      <c r="BS122" s="46"/>
      <c r="BT122" s="46"/>
      <c r="BU122" s="46"/>
      <c r="BV122" s="46"/>
      <c r="BW122" s="46"/>
      <c r="BX122" s="46"/>
      <c r="BY122" s="46"/>
      <c r="BZ122" s="46"/>
      <c r="CA122" s="46"/>
      <c r="CB122" s="46"/>
      <c r="CC122" s="46"/>
      <c r="CD122" s="46"/>
      <c r="CE122" s="46"/>
    </row>
    <row r="123" spans="1:83" ht="11.25" customHeight="1">
      <c r="A123" s="43"/>
      <c r="B123" s="43"/>
      <c r="C123" s="22"/>
      <c r="D123" s="676"/>
      <c r="E123" s="98" t="s">
        <v>22</v>
      </c>
      <c r="F123" s="37" t="s">
        <v>22</v>
      </c>
      <c r="G123" s="37" t="s">
        <v>618</v>
      </c>
      <c r="H123" s="37" t="s">
        <v>22</v>
      </c>
      <c r="I123" s="37"/>
      <c r="J123" s="37"/>
      <c r="K123" s="37"/>
      <c r="L123" s="37"/>
      <c r="M123" s="37"/>
      <c r="N123" s="37"/>
      <c r="O123" s="37"/>
      <c r="P123" s="37"/>
      <c r="Q123" s="37"/>
      <c r="R123" s="26"/>
      <c r="S123" s="207"/>
      <c r="T123" s="89"/>
      <c r="U123" s="748"/>
      <c r="V123" s="748"/>
      <c r="W123" s="43"/>
      <c r="X123" s="43"/>
      <c r="Y123" s="43"/>
      <c r="Z123" s="43"/>
      <c r="AA123" s="46"/>
      <c r="AB123" s="43"/>
      <c r="AC123" s="43"/>
      <c r="AD123" s="43"/>
      <c r="AE123" s="43"/>
      <c r="AF123" s="43"/>
      <c r="AG123" s="46"/>
      <c r="AH123" s="46"/>
      <c r="AI123" s="46"/>
      <c r="AJ123" s="46"/>
      <c r="AK123" s="46"/>
      <c r="AL123" s="46"/>
      <c r="AM123" s="46"/>
      <c r="AN123" s="46"/>
      <c r="AO123" s="46"/>
      <c r="AP123" s="46"/>
      <c r="AQ123" s="46"/>
      <c r="AR123" s="46"/>
      <c r="AS123" s="46"/>
      <c r="AT123" s="46"/>
      <c r="AU123" s="46"/>
      <c r="AV123" s="46"/>
      <c r="AW123" s="46"/>
      <c r="AX123" s="46"/>
      <c r="AY123" s="46"/>
      <c r="AZ123" s="46"/>
      <c r="BA123" s="46"/>
      <c r="BB123" s="46"/>
      <c r="BC123" s="46"/>
      <c r="BD123" s="46"/>
      <c r="BE123" s="46"/>
      <c r="BF123" s="46"/>
      <c r="BG123" s="46"/>
      <c r="BH123" s="46"/>
      <c r="BI123" s="46"/>
      <c r="BJ123" s="46"/>
      <c r="BK123" s="46"/>
      <c r="BL123" s="46"/>
      <c r="BM123" s="46"/>
      <c r="BN123" s="46"/>
      <c r="BO123" s="46"/>
      <c r="BP123" s="46"/>
      <c r="BQ123" s="46"/>
      <c r="BR123" s="46"/>
      <c r="BS123" s="46"/>
      <c r="BT123" s="46"/>
      <c r="BU123" s="46"/>
      <c r="BV123" s="43"/>
      <c r="BW123" s="43"/>
      <c r="BX123" s="43"/>
      <c r="BY123" s="43"/>
      <c r="BZ123" s="43"/>
      <c r="CA123" s="43"/>
      <c r="CB123" s="43"/>
      <c r="CC123" s="43"/>
      <c r="CD123" s="43"/>
      <c r="CE123" s="43"/>
    </row>
    <row r="125" spans="1:83" s="573" customFormat="1" ht="11.25" customHeight="1">
      <c r="A125" s="573" t="s">
        <v>1934</v>
      </c>
    </row>
    <row r="127" spans="1:83" ht="15" hidden="1" customHeight="1">
      <c r="A127" s="22"/>
      <c r="D127" s="673" t="s">
        <v>110</v>
      </c>
      <c r="E127" s="728" t="s">
        <v>106</v>
      </c>
      <c r="F127" s="733"/>
      <c r="G127" s="734"/>
      <c r="H127" s="808" t="str">
        <f>IF(A127="","",INDEX(DIFFERENTIATION_UNMERGE_VD,MATCH(A127,DIFFERENTIATION_ID_DIFF,0)))</f>
        <v/>
      </c>
      <c r="I127" s="808"/>
      <c r="J127" s="808"/>
      <c r="K127" s="808"/>
      <c r="L127" s="808"/>
      <c r="M127" s="808"/>
      <c r="N127" s="808"/>
      <c r="O127" s="808"/>
      <c r="P127" s="808"/>
      <c r="Q127" s="808"/>
      <c r="R127" s="808"/>
      <c r="S127" s="169"/>
      <c r="T127" s="89"/>
      <c r="U127" s="46"/>
      <c r="V127" s="46"/>
      <c r="W127" s="43"/>
      <c r="X127" s="43"/>
      <c r="Y127" s="43"/>
      <c r="Z127" s="43"/>
      <c r="AA127" s="46"/>
      <c r="AB127" s="43"/>
      <c r="AC127" s="732"/>
      <c r="AD127" s="43"/>
      <c r="AE127" s="43" t="s">
        <v>22</v>
      </c>
      <c r="AF127" s="43"/>
      <c r="AG127" s="135" t="s">
        <v>612</v>
      </c>
      <c r="AH127" s="200">
        <v>3</v>
      </c>
      <c r="AI127" s="46"/>
      <c r="AJ127" s="46"/>
      <c r="AK127" s="46"/>
      <c r="AL127" s="46"/>
      <c r="AM127" s="46"/>
      <c r="AN127" s="46"/>
      <c r="AO127" s="46"/>
      <c r="AP127" s="46"/>
      <c r="AQ127" s="46"/>
      <c r="AR127" s="46"/>
      <c r="AS127" s="46"/>
      <c r="AT127" s="46"/>
      <c r="AU127" s="46"/>
      <c r="AV127" s="46"/>
      <c r="AW127" s="46"/>
      <c r="AX127" s="46"/>
      <c r="AY127" s="46"/>
      <c r="AZ127" s="46"/>
      <c r="BA127" s="46"/>
      <c r="BB127" s="46"/>
      <c r="BC127" s="46"/>
      <c r="BD127" s="46"/>
      <c r="BE127" s="46"/>
      <c r="BF127" s="46"/>
      <c r="BG127" s="46"/>
      <c r="BH127" s="46"/>
      <c r="BI127" s="46"/>
      <c r="BJ127" s="46"/>
      <c r="BK127" s="46"/>
      <c r="BL127" s="46"/>
      <c r="BM127" s="46"/>
      <c r="BN127" s="46"/>
      <c r="BO127" s="46"/>
      <c r="BP127" s="46"/>
      <c r="BQ127" s="46"/>
      <c r="BR127" s="46"/>
      <c r="BS127" s="46"/>
      <c r="BT127" s="46"/>
      <c r="BU127" s="46"/>
      <c r="BV127" s="43"/>
      <c r="BW127" s="43"/>
      <c r="BX127" s="43"/>
      <c r="BY127" s="43"/>
      <c r="BZ127" s="43"/>
      <c r="CA127" s="43"/>
      <c r="CB127" s="43"/>
      <c r="CC127" s="43"/>
      <c r="CD127" s="43"/>
      <c r="CE127" s="43"/>
    </row>
    <row r="128" spans="1:83" ht="15" hidden="1" customHeight="1">
      <c r="A128" s="22"/>
      <c r="D128" s="705"/>
      <c r="E128" s="728" t="s">
        <v>567</v>
      </c>
      <c r="F128" s="733"/>
      <c r="G128" s="734"/>
      <c r="H128" s="808" t="str">
        <f>IF(A127="","",INDEX(DIFFERENTIATION_UNMERGE_AREA,MATCH(A127,DIFFERENTIATION_ID_DIFF,0)))</f>
        <v/>
      </c>
      <c r="I128" s="808"/>
      <c r="J128" s="808"/>
      <c r="K128" s="808"/>
      <c r="L128" s="808"/>
      <c r="M128" s="808"/>
      <c r="N128" s="808"/>
      <c r="O128" s="808"/>
      <c r="P128" s="808"/>
      <c r="Q128" s="808"/>
      <c r="R128" s="808"/>
      <c r="S128" s="169"/>
      <c r="T128" s="89"/>
      <c r="U128" s="46"/>
      <c r="V128" s="46"/>
      <c r="W128" s="43"/>
      <c r="X128" s="43"/>
      <c r="Y128" s="43"/>
      <c r="Z128" s="43"/>
      <c r="AA128" s="46"/>
      <c r="AB128" s="43"/>
      <c r="AC128" s="732"/>
      <c r="AD128" s="43"/>
      <c r="AE128" s="43"/>
      <c r="AF128" s="43"/>
      <c r="AG128" s="135"/>
      <c r="AH128" s="200"/>
      <c r="AI128" s="46"/>
      <c r="AJ128" s="46"/>
      <c r="AK128" s="46"/>
      <c r="AL128" s="46"/>
      <c r="AM128" s="46"/>
      <c r="AN128" s="46"/>
      <c r="AO128" s="46"/>
      <c r="AP128" s="46"/>
      <c r="AQ128" s="46"/>
      <c r="AR128" s="46"/>
      <c r="AS128" s="46"/>
      <c r="AT128" s="46"/>
      <c r="AU128" s="46"/>
      <c r="AV128" s="46"/>
      <c r="AW128" s="46"/>
      <c r="AX128" s="46"/>
      <c r="AY128" s="46"/>
      <c r="AZ128" s="46"/>
      <c r="BA128" s="46"/>
      <c r="BB128" s="46"/>
      <c r="BC128" s="46"/>
      <c r="BD128" s="46"/>
      <c r="BE128" s="46"/>
      <c r="BF128" s="46"/>
      <c r="BG128" s="46"/>
      <c r="BH128" s="46"/>
      <c r="BI128" s="46"/>
      <c r="BJ128" s="46"/>
      <c r="BK128" s="46"/>
      <c r="BL128" s="46"/>
      <c r="BM128" s="46"/>
      <c r="BN128" s="46"/>
      <c r="BO128" s="46"/>
      <c r="BP128" s="46"/>
      <c r="BQ128" s="46"/>
      <c r="BR128" s="46"/>
      <c r="BS128" s="46"/>
      <c r="BT128" s="46"/>
      <c r="BU128" s="46"/>
      <c r="BV128" s="43"/>
      <c r="BW128" s="43"/>
      <c r="BX128" s="43"/>
      <c r="BY128" s="43"/>
      <c r="BZ128" s="43"/>
      <c r="CA128" s="43"/>
      <c r="CB128" s="43"/>
      <c r="CC128" s="43"/>
      <c r="CD128" s="43"/>
      <c r="CE128" s="43"/>
    </row>
    <row r="129" spans="1:83" ht="15" hidden="1" customHeight="1">
      <c r="A129" s="22"/>
      <c r="D129" s="705"/>
      <c r="E129" s="728" t="s">
        <v>568</v>
      </c>
      <c r="F129" s="733"/>
      <c r="G129" s="734"/>
      <c r="H129" s="808" t="str">
        <f>IF(A127="","",INDEX(DIFFERENTIATION_UNMERGE_SYSTEM,MATCH(A127,DIFFERENTIATION_ID_DIFF,0)))</f>
        <v/>
      </c>
      <c r="I129" s="808"/>
      <c r="J129" s="808"/>
      <c r="K129" s="808"/>
      <c r="L129" s="808"/>
      <c r="M129" s="808"/>
      <c r="N129" s="808"/>
      <c r="O129" s="808"/>
      <c r="P129" s="808"/>
      <c r="Q129" s="808"/>
      <c r="R129" s="808"/>
      <c r="S129" s="169"/>
      <c r="T129" s="89"/>
      <c r="U129" s="46"/>
      <c r="V129" s="46"/>
      <c r="W129" s="43"/>
      <c r="X129" s="43"/>
      <c r="Y129" s="43"/>
      <c r="Z129" s="43"/>
      <c r="AA129" s="46"/>
      <c r="AB129" s="43"/>
      <c r="AC129" s="732"/>
      <c r="AD129" s="43"/>
      <c r="AE129" s="43"/>
      <c r="AF129" s="43"/>
      <c r="AG129" s="135"/>
      <c r="AH129" s="200"/>
      <c r="AI129" s="46"/>
      <c r="AJ129" s="46"/>
      <c r="AK129" s="46"/>
      <c r="AL129" s="46"/>
      <c r="AM129" s="46"/>
      <c r="AN129" s="46"/>
      <c r="AO129" s="46"/>
      <c r="AP129" s="46"/>
      <c r="AQ129" s="46"/>
      <c r="AR129" s="46"/>
      <c r="AS129" s="46"/>
      <c r="AT129" s="46"/>
      <c r="AU129" s="46"/>
      <c r="AV129" s="46"/>
      <c r="AW129" s="46"/>
      <c r="AX129" s="46"/>
      <c r="AY129" s="46"/>
      <c r="AZ129" s="46"/>
      <c r="BA129" s="46"/>
      <c r="BB129" s="46"/>
      <c r="BC129" s="46"/>
      <c r="BD129" s="46"/>
      <c r="BE129" s="46"/>
      <c r="BF129" s="46"/>
      <c r="BG129" s="46"/>
      <c r="BH129" s="46"/>
      <c r="BI129" s="46"/>
      <c r="BJ129" s="46"/>
      <c r="BK129" s="46"/>
      <c r="BL129" s="46"/>
      <c r="BM129" s="46"/>
      <c r="BN129" s="46"/>
      <c r="BO129" s="46"/>
      <c r="BP129" s="46"/>
      <c r="BQ129" s="46"/>
      <c r="BR129" s="46"/>
      <c r="BS129" s="46"/>
      <c r="BT129" s="46"/>
      <c r="BU129" s="46"/>
      <c r="BV129" s="43"/>
      <c r="BW129" s="43"/>
      <c r="BX129" s="43"/>
      <c r="BY129" s="43"/>
      <c r="BZ129" s="43"/>
      <c r="CA129" s="43"/>
      <c r="CB129" s="43"/>
      <c r="CC129" s="43"/>
      <c r="CD129" s="43"/>
      <c r="CE129" s="43"/>
    </row>
    <row r="130" spans="1:83" ht="24.75" hidden="1" customHeight="1">
      <c r="A130" s="43"/>
      <c r="B130" s="43"/>
      <c r="C130" s="22"/>
      <c r="D130" s="705"/>
      <c r="E130" s="676" t="s">
        <v>613</v>
      </c>
      <c r="F130" s="676"/>
      <c r="G130" s="676"/>
      <c r="H130" s="676"/>
      <c r="I130" s="676"/>
      <c r="J130" s="676"/>
      <c r="K130" s="676"/>
      <c r="L130" s="676"/>
      <c r="M130" s="676"/>
      <c r="N130" s="676"/>
      <c r="O130" s="676"/>
      <c r="P130" s="676"/>
      <c r="Q130" s="177">
        <f>SUMIF(T131:T132,"i",Q131:Q132)</f>
        <v>0</v>
      </c>
      <c r="R130" s="339"/>
      <c r="S130" s="29" t="s">
        <v>614</v>
      </c>
      <c r="T130" s="89" t="s">
        <v>615</v>
      </c>
      <c r="U130" s="748">
        <v>1</v>
      </c>
      <c r="V130" s="748" t="s">
        <v>578</v>
      </c>
      <c r="W130" s="43"/>
      <c r="X130" s="43"/>
      <c r="Y130" s="43"/>
      <c r="Z130" s="43"/>
      <c r="AA130" s="46"/>
      <c r="AB130" s="43"/>
      <c r="AC130" s="732"/>
      <c r="AD130" s="43"/>
      <c r="AE130" s="43"/>
      <c r="AF130" s="43"/>
      <c r="AG130" s="46"/>
      <c r="AH130" s="46"/>
      <c r="AI130" s="46"/>
      <c r="AJ130" s="46"/>
      <c r="AK130" s="46"/>
      <c r="AL130" s="46"/>
      <c r="AM130" s="46"/>
      <c r="AN130" s="46"/>
      <c r="AO130" s="46"/>
      <c r="AP130" s="46"/>
      <c r="AQ130" s="46"/>
      <c r="AR130" s="46"/>
      <c r="AS130" s="46"/>
      <c r="AT130" s="46"/>
      <c r="AU130" s="46"/>
      <c r="AV130" s="46"/>
      <c r="AW130" s="46"/>
      <c r="AX130" s="46"/>
      <c r="AY130" s="46"/>
      <c r="AZ130" s="46"/>
      <c r="BA130" s="46"/>
      <c r="BB130" s="46"/>
      <c r="BC130" s="46"/>
      <c r="BD130" s="46"/>
      <c r="BE130" s="46"/>
      <c r="BF130" s="46"/>
      <c r="BG130" s="46"/>
      <c r="BH130" s="46"/>
      <c r="BI130" s="46"/>
      <c r="BJ130" s="46"/>
      <c r="BK130" s="46"/>
      <c r="BL130" s="46"/>
      <c r="BM130" s="46"/>
      <c r="BN130" s="46"/>
      <c r="BO130" s="46"/>
      <c r="BP130" s="46"/>
      <c r="BQ130" s="46"/>
      <c r="BR130" s="46"/>
      <c r="BS130" s="46"/>
      <c r="BT130" s="46"/>
      <c r="BU130" s="46"/>
      <c r="BV130" s="43"/>
      <c r="BW130" s="43"/>
      <c r="BX130" s="43"/>
      <c r="BY130" s="43"/>
      <c r="BZ130" s="43"/>
      <c r="CA130" s="43"/>
      <c r="CB130" s="43"/>
      <c r="CC130" s="43"/>
      <c r="CD130" s="43"/>
      <c r="CE130" s="43"/>
    </row>
    <row r="131" spans="1:83" ht="11.25" hidden="1" customHeight="1">
      <c r="A131" s="46"/>
      <c r="B131" s="46"/>
      <c r="C131" s="46"/>
      <c r="D131" s="705"/>
      <c r="E131" s="174"/>
      <c r="F131" s="174">
        <v>0</v>
      </c>
      <c r="G131" s="174"/>
      <c r="H131" s="174"/>
      <c r="I131" s="174"/>
      <c r="J131" s="174"/>
      <c r="K131" s="174"/>
      <c r="L131" s="174"/>
      <c r="M131" s="174"/>
      <c r="N131" s="174"/>
      <c r="O131" s="174"/>
      <c r="P131" s="174"/>
      <c r="Q131" s="174"/>
      <c r="R131" s="174"/>
      <c r="S131" s="174"/>
      <c r="T131" s="89"/>
      <c r="U131" s="748"/>
      <c r="V131" s="748"/>
      <c r="W131" s="46"/>
      <c r="X131" s="46"/>
      <c r="Y131" s="46"/>
      <c r="Z131" s="46"/>
      <c r="AA131" s="46"/>
      <c r="AB131" s="43"/>
      <c r="AC131" s="732"/>
      <c r="AD131" s="43"/>
      <c r="AE131" s="43"/>
      <c r="AF131" s="43"/>
      <c r="AG131" s="46"/>
      <c r="AH131" s="46"/>
      <c r="AI131" s="46"/>
      <c r="AJ131" s="46"/>
      <c r="AK131" s="46"/>
      <c r="AL131" s="46"/>
      <c r="AM131" s="46"/>
      <c r="AN131" s="46"/>
      <c r="AO131" s="46"/>
      <c r="AP131" s="46"/>
      <c r="AQ131" s="46"/>
      <c r="AR131" s="46"/>
      <c r="AS131" s="46"/>
      <c r="AT131" s="46"/>
      <c r="AU131" s="46"/>
      <c r="AV131" s="46"/>
      <c r="AW131" s="46"/>
      <c r="AX131" s="46"/>
      <c r="AY131" s="46"/>
      <c r="AZ131" s="46"/>
      <c r="BA131" s="46"/>
      <c r="BB131" s="46"/>
      <c r="BC131" s="46"/>
      <c r="BD131" s="46"/>
      <c r="BE131" s="46"/>
      <c r="BF131" s="46"/>
      <c r="BG131" s="46"/>
      <c r="BH131" s="46"/>
      <c r="BI131" s="46"/>
      <c r="BJ131" s="46"/>
      <c r="BK131" s="46"/>
      <c r="BL131" s="46"/>
      <c r="BM131" s="46"/>
      <c r="BN131" s="46"/>
      <c r="BO131" s="46"/>
      <c r="BP131" s="46"/>
      <c r="BQ131" s="46"/>
      <c r="BR131" s="46"/>
      <c r="BS131" s="46"/>
      <c r="BT131" s="46"/>
      <c r="BU131" s="46"/>
      <c r="BV131" s="46"/>
      <c r="BW131" s="46"/>
      <c r="BX131" s="46"/>
      <c r="BY131" s="46"/>
      <c r="BZ131" s="46"/>
      <c r="CA131" s="46"/>
      <c r="CB131" s="46"/>
      <c r="CC131" s="46"/>
      <c r="CD131" s="46"/>
      <c r="CE131" s="46"/>
    </row>
    <row r="132" spans="1:83" ht="11.25" hidden="1" customHeight="1">
      <c r="A132" s="43"/>
      <c r="B132" s="43"/>
      <c r="C132" s="22"/>
      <c r="D132" s="705"/>
      <c r="E132" s="98" t="s">
        <v>22</v>
      </c>
      <c r="F132" s="37" t="s">
        <v>22</v>
      </c>
      <c r="G132" s="37" t="s">
        <v>618</v>
      </c>
      <c r="H132" s="37" t="s">
        <v>22</v>
      </c>
      <c r="I132" s="37"/>
      <c r="J132" s="37"/>
      <c r="K132" s="37"/>
      <c r="L132" s="37"/>
      <c r="M132" s="37"/>
      <c r="N132" s="37"/>
      <c r="O132" s="37"/>
      <c r="P132" s="37"/>
      <c r="Q132" s="37"/>
      <c r="R132" s="26"/>
      <c r="S132" s="207"/>
      <c r="T132" s="89"/>
      <c r="U132" s="748"/>
      <c r="V132" s="748"/>
      <c r="W132" s="43"/>
      <c r="X132" s="43"/>
      <c r="Y132" s="43"/>
      <c r="Z132" s="43"/>
      <c r="AA132" s="46"/>
      <c r="AB132" s="43"/>
      <c r="AC132" s="732"/>
      <c r="AD132" s="43"/>
      <c r="AE132" s="43"/>
      <c r="AF132" s="43"/>
      <c r="AG132" s="46"/>
      <c r="AH132" s="46"/>
      <c r="AI132" s="46"/>
      <c r="AJ132" s="46"/>
      <c r="AK132" s="46"/>
      <c r="AL132" s="46"/>
      <c r="AM132" s="46"/>
      <c r="AN132" s="46"/>
      <c r="AO132" s="46"/>
      <c r="AP132" s="46"/>
      <c r="AQ132" s="46"/>
      <c r="AR132" s="46"/>
      <c r="AS132" s="46"/>
      <c r="AT132" s="46"/>
      <c r="AU132" s="46"/>
      <c r="AV132" s="46"/>
      <c r="AW132" s="46"/>
      <c r="AX132" s="46"/>
      <c r="AY132" s="46"/>
      <c r="AZ132" s="46"/>
      <c r="BA132" s="46"/>
      <c r="BB132" s="46"/>
      <c r="BC132" s="46"/>
      <c r="BD132" s="46"/>
      <c r="BE132" s="46"/>
      <c r="BF132" s="46"/>
      <c r="BG132" s="46"/>
      <c r="BH132" s="46"/>
      <c r="BI132" s="46"/>
      <c r="BJ132" s="46"/>
      <c r="BK132" s="46"/>
      <c r="BL132" s="46"/>
      <c r="BM132" s="46"/>
      <c r="BN132" s="46"/>
      <c r="BO132" s="46"/>
      <c r="BP132" s="46"/>
      <c r="BQ132" s="46"/>
      <c r="BR132" s="46"/>
      <c r="BS132" s="46"/>
      <c r="BT132" s="46"/>
      <c r="BU132" s="46"/>
      <c r="BV132" s="43"/>
      <c r="BW132" s="43"/>
      <c r="BX132" s="43"/>
      <c r="BY132" s="43"/>
      <c r="BZ132" s="43"/>
      <c r="CA132" s="43"/>
      <c r="CB132" s="43"/>
      <c r="CC132" s="43"/>
      <c r="CD132" s="43"/>
      <c r="CE132" s="43"/>
    </row>
    <row r="133" spans="1:83" s="46" customFormat="1" ht="5.25" hidden="1" customHeight="1">
      <c r="D133" s="705"/>
      <c r="E133" s="263"/>
      <c r="F133" s="263"/>
      <c r="G133" s="263"/>
      <c r="H133" s="263"/>
      <c r="I133" s="263"/>
      <c r="J133" s="263"/>
      <c r="K133" s="263"/>
      <c r="L133" s="263"/>
      <c r="M133" s="263"/>
      <c r="N133" s="263"/>
      <c r="O133" s="263"/>
      <c r="P133" s="263"/>
      <c r="Q133" s="111"/>
      <c r="R133" s="352"/>
      <c r="S133" s="174"/>
      <c r="T133" s="89" t="s">
        <v>615</v>
      </c>
      <c r="U133" s="748">
        <v>1</v>
      </c>
      <c r="V133" s="748" t="s">
        <v>578</v>
      </c>
    </row>
    <row r="134" spans="1:83" s="46" customFormat="1" ht="5.25" hidden="1" customHeight="1">
      <c r="D134" s="705"/>
      <c r="E134" s="174"/>
      <c r="F134" s="174"/>
      <c r="G134" s="174"/>
      <c r="H134" s="174"/>
      <c r="I134" s="174"/>
      <c r="J134" s="174"/>
      <c r="K134" s="174"/>
      <c r="L134" s="174"/>
      <c r="M134" s="174"/>
      <c r="N134" s="174"/>
      <c r="O134" s="174"/>
      <c r="P134" s="174"/>
      <c r="Q134" s="174"/>
      <c r="R134" s="174"/>
      <c r="S134" s="174"/>
      <c r="T134" s="89"/>
      <c r="U134" s="748"/>
      <c r="V134" s="748"/>
    </row>
    <row r="135" spans="1:83" s="46" customFormat="1" ht="5.25" hidden="1" customHeight="1">
      <c r="D135" s="676"/>
      <c r="E135" s="353"/>
      <c r="F135" s="354"/>
      <c r="G135" s="354"/>
      <c r="H135" s="354"/>
      <c r="I135" s="354"/>
      <c r="J135" s="354"/>
      <c r="K135" s="354"/>
      <c r="L135" s="354"/>
      <c r="M135" s="354"/>
      <c r="N135" s="354"/>
      <c r="O135" s="354"/>
      <c r="P135" s="354"/>
      <c r="Q135" s="354"/>
      <c r="R135" s="314"/>
      <c r="S135" s="174"/>
      <c r="T135" s="89"/>
      <c r="U135" s="748"/>
      <c r="V135" s="748"/>
    </row>
    <row r="136" spans="1:83" ht="17.25" customHeight="1">
      <c r="D136" s="582"/>
    </row>
    <row r="137" spans="1:83" s="573" customFormat="1" ht="11.25" customHeight="1">
      <c r="A137" s="573" t="s">
        <v>1935</v>
      </c>
    </row>
    <row r="139" spans="1:83" ht="45" customHeight="1">
      <c r="A139" s="43"/>
      <c r="B139" s="43"/>
      <c r="C139" s="22"/>
      <c r="E139" s="868"/>
      <c r="F139" s="679" t="s">
        <v>110</v>
      </c>
      <c r="G139" s="869" t="s">
        <v>22</v>
      </c>
      <c r="H139" s="29"/>
      <c r="I139" s="201" t="s">
        <v>110</v>
      </c>
      <c r="J139" s="27" t="s">
        <v>1936</v>
      </c>
      <c r="K139" s="49" t="s">
        <v>549</v>
      </c>
      <c r="L139" s="702" t="s">
        <v>549</v>
      </c>
      <c r="M139" s="698"/>
      <c r="N139" s="49" t="s">
        <v>549</v>
      </c>
      <c r="O139" s="49" t="s">
        <v>549</v>
      </c>
      <c r="P139" s="49" t="s">
        <v>549</v>
      </c>
      <c r="Q139" s="202">
        <f>SUM(Q140:Q142)</f>
        <v>0</v>
      </c>
      <c r="R139" s="202">
        <f>IF(R136=0,0,(Q136/R136)*100)</f>
        <v>0</v>
      </c>
      <c r="S139" s="679"/>
      <c r="T139" s="89" t="s">
        <v>615</v>
      </c>
    </row>
    <row r="140" spans="1:83" ht="11.25" customHeight="1">
      <c r="A140" s="43"/>
      <c r="B140" s="43"/>
      <c r="C140" s="22"/>
      <c r="E140" s="705"/>
      <c r="F140" s="679"/>
      <c r="G140" s="869"/>
      <c r="H140" s="679"/>
      <c r="I140" s="661" t="s">
        <v>1025</v>
      </c>
      <c r="J140" s="707"/>
      <c r="K140" s="867"/>
      <c r="L140" s="27"/>
      <c r="M140" s="203" t="s">
        <v>110</v>
      </c>
      <c r="N140" s="139"/>
      <c r="O140" s="204"/>
      <c r="P140" s="139"/>
      <c r="Q140" s="204"/>
      <c r="R140" s="205">
        <v>0</v>
      </c>
      <c r="S140" s="679"/>
      <c r="T140" s="89"/>
    </row>
    <row r="141" spans="1:83" ht="11.25" customHeight="1">
      <c r="A141" s="43"/>
      <c r="B141" s="43"/>
      <c r="C141" s="22"/>
      <c r="E141" s="705"/>
      <c r="F141" s="679"/>
      <c r="G141" s="869"/>
      <c r="H141" s="679"/>
      <c r="I141" s="661"/>
      <c r="J141" s="707"/>
      <c r="K141" s="707"/>
      <c r="L141" s="206"/>
      <c r="M141" s="54"/>
      <c r="N141" s="37" t="s">
        <v>1937</v>
      </c>
      <c r="O141" s="37"/>
      <c r="P141" s="37"/>
      <c r="Q141" s="37"/>
      <c r="R141" s="26"/>
      <c r="S141" s="679"/>
      <c r="T141" s="89"/>
    </row>
    <row r="142" spans="1:83" ht="11.25" customHeight="1">
      <c r="A142" s="43"/>
      <c r="B142" s="43"/>
      <c r="C142" s="22"/>
      <c r="E142" s="676"/>
      <c r="F142" s="679"/>
      <c r="G142" s="706"/>
      <c r="H142" s="206" t="s">
        <v>22</v>
      </c>
      <c r="I142" s="54"/>
      <c r="J142" s="37" t="s">
        <v>1938</v>
      </c>
      <c r="K142" s="37"/>
      <c r="L142" s="37"/>
      <c r="M142" s="37"/>
      <c r="N142" s="37"/>
      <c r="O142" s="37"/>
      <c r="P142" s="37"/>
      <c r="Q142" s="37"/>
      <c r="R142" s="26"/>
      <c r="S142" s="679"/>
      <c r="T142" s="89"/>
    </row>
    <row r="147" spans="1:43" ht="11.25" customHeight="1">
      <c r="A147" s="43"/>
      <c r="B147" s="43"/>
      <c r="C147" s="22"/>
      <c r="E147" s="578"/>
      <c r="F147" s="578"/>
      <c r="G147" s="578"/>
      <c r="H147" s="679"/>
      <c r="I147" s="661" t="s">
        <v>1025</v>
      </c>
      <c r="J147" s="707"/>
      <c r="K147" s="867"/>
      <c r="L147" s="27"/>
      <c r="M147" s="203" t="s">
        <v>110</v>
      </c>
      <c r="N147" s="139"/>
      <c r="O147" s="204"/>
      <c r="P147" s="139"/>
      <c r="Q147" s="204"/>
      <c r="R147" s="205">
        <v>0</v>
      </c>
      <c r="T147" s="89"/>
    </row>
    <row r="148" spans="1:43" ht="11.25" customHeight="1">
      <c r="A148" s="43"/>
      <c r="B148" s="43"/>
      <c r="C148" s="22"/>
      <c r="E148" s="578"/>
      <c r="F148" s="578"/>
      <c r="G148" s="578"/>
      <c r="H148" s="679"/>
      <c r="I148" s="661"/>
      <c r="J148" s="707"/>
      <c r="K148" s="707"/>
      <c r="L148" s="206"/>
      <c r="M148" s="54"/>
      <c r="N148" s="37" t="s">
        <v>1937</v>
      </c>
      <c r="O148" s="37"/>
      <c r="P148" s="37"/>
      <c r="Q148" s="37"/>
      <c r="R148" s="26"/>
      <c r="T148" s="89"/>
    </row>
    <row r="150" spans="1:43" ht="11.25" customHeight="1">
      <c r="A150" s="43"/>
      <c r="B150" s="43"/>
      <c r="C150" s="22"/>
      <c r="E150" s="583"/>
      <c r="H150" s="121"/>
      <c r="I150" s="578"/>
      <c r="J150" s="555"/>
      <c r="K150" s="555"/>
      <c r="L150" s="27"/>
      <c r="M150" s="203" t="s">
        <v>110</v>
      </c>
      <c r="N150" s="139"/>
      <c r="O150" s="204"/>
      <c r="P150" s="139"/>
      <c r="Q150" s="204"/>
      <c r="R150" s="205">
        <v>0</v>
      </c>
      <c r="T150" s="89"/>
    </row>
    <row r="152" spans="1:43" s="573" customFormat="1" ht="17.25" customHeight="1">
      <c r="A152" s="573" t="s">
        <v>1939</v>
      </c>
    </row>
    <row r="153" spans="1:43" ht="17.25" customHeight="1">
      <c r="G153" s="108"/>
      <c r="H153" s="108"/>
      <c r="I153" s="108"/>
    </row>
    <row r="154" spans="1:43" s="22" customFormat="1" ht="17.25" customHeight="1">
      <c r="A154" s="108"/>
      <c r="C154" s="16"/>
      <c r="D154" s="698"/>
      <c r="E154" s="679"/>
      <c r="F154" s="686"/>
      <c r="G154" s="688"/>
      <c r="H154" s="698"/>
      <c r="I154" s="698">
        <v>1</v>
      </c>
      <c r="J154" s="865"/>
      <c r="K154" s="686" t="s">
        <v>66</v>
      </c>
      <c r="L154" s="679"/>
      <c r="M154" s="679" t="s">
        <v>110</v>
      </c>
      <c r="N154" s="866" t="str">
        <f>IF(Z154="","",INDEX(TERRITORY_MR_LIST,MATCH(Z154,TERRITORY_LIST_ID,0)))</f>
        <v/>
      </c>
      <c r="O154" s="686" t="s">
        <v>66</v>
      </c>
      <c r="P154" s="679"/>
      <c r="Q154" s="679" t="s">
        <v>110</v>
      </c>
      <c r="R154" s="707" t="s">
        <v>22</v>
      </c>
      <c r="S154" s="688" t="s">
        <v>66</v>
      </c>
      <c r="T154" s="31"/>
      <c r="U154" s="31" t="s">
        <v>110</v>
      </c>
      <c r="V154" s="139" t="s">
        <v>22</v>
      </c>
      <c r="W154" s="25"/>
      <c r="Y154" s="4"/>
      <c r="Z154" s="4"/>
      <c r="AA154" s="4"/>
      <c r="AB154" s="4"/>
      <c r="AC154" s="4"/>
      <c r="AD154" s="4"/>
      <c r="AE154" s="4"/>
      <c r="AF154" s="4"/>
      <c r="AG154" s="4"/>
      <c r="AH154" s="4"/>
      <c r="AI154" s="4"/>
      <c r="AJ154" s="4"/>
      <c r="AK154" s="4"/>
      <c r="AN154" s="4"/>
      <c r="AO154" s="4"/>
      <c r="AP154" s="4"/>
      <c r="AQ154" s="4"/>
    </row>
    <row r="155" spans="1:43" s="22" customFormat="1" ht="17.25" customHeight="1">
      <c r="A155" s="108"/>
      <c r="D155" s="698"/>
      <c r="E155" s="679"/>
      <c r="F155" s="689"/>
      <c r="G155" s="688"/>
      <c r="H155" s="698"/>
      <c r="I155" s="698"/>
      <c r="J155" s="865"/>
      <c r="K155" s="689"/>
      <c r="L155" s="679"/>
      <c r="M155" s="679"/>
      <c r="N155" s="866"/>
      <c r="O155" s="689"/>
      <c r="P155" s="679"/>
      <c r="Q155" s="679"/>
      <c r="R155" s="707"/>
      <c r="S155" s="688"/>
      <c r="T155" s="105"/>
      <c r="U155" s="106"/>
      <c r="V155" s="106" t="s">
        <v>417</v>
      </c>
      <c r="W155" s="107"/>
      <c r="Y155" s="4"/>
      <c r="Z155" s="4"/>
      <c r="AA155" s="4"/>
      <c r="AB155" s="4"/>
      <c r="AC155" s="4"/>
      <c r="AD155" s="4"/>
      <c r="AE155" s="4"/>
      <c r="AF155" s="4"/>
      <c r="AG155" s="4"/>
      <c r="AH155" s="4"/>
      <c r="AI155" s="4"/>
      <c r="AJ155" s="4"/>
      <c r="AK155" s="4"/>
    </row>
    <row r="156" spans="1:43" s="22" customFormat="1" ht="17.25" customHeight="1">
      <c r="A156" s="108"/>
      <c r="D156" s="698"/>
      <c r="E156" s="698"/>
      <c r="F156" s="689"/>
      <c r="G156" s="866"/>
      <c r="H156" s="698"/>
      <c r="I156" s="698"/>
      <c r="J156" s="862"/>
      <c r="K156" s="689"/>
      <c r="L156" s="698"/>
      <c r="M156" s="698"/>
      <c r="N156" s="866"/>
      <c r="O156" s="687"/>
      <c r="P156" s="105"/>
      <c r="Q156" s="106"/>
      <c r="R156" s="106" t="s">
        <v>418</v>
      </c>
      <c r="S156" s="584"/>
      <c r="T156" s="584"/>
      <c r="U156" s="584"/>
      <c r="V156" s="584"/>
      <c r="W156" s="107"/>
      <c r="Y156" s="4"/>
      <c r="Z156" s="4"/>
      <c r="AA156" s="4"/>
      <c r="AB156" s="4"/>
      <c r="AC156" s="4"/>
      <c r="AD156" s="4"/>
      <c r="AE156" s="4"/>
      <c r="AF156" s="4"/>
      <c r="AG156" s="4"/>
      <c r="AH156" s="4"/>
      <c r="AI156" s="4"/>
      <c r="AJ156" s="4"/>
      <c r="AK156" s="4"/>
    </row>
    <row r="157" spans="1:43" s="22" customFormat="1" ht="17.25" customHeight="1">
      <c r="A157" s="108"/>
      <c r="D157" s="698"/>
      <c r="E157" s="698"/>
      <c r="F157" s="689"/>
      <c r="G157" s="866"/>
      <c r="H157" s="698"/>
      <c r="I157" s="698"/>
      <c r="J157" s="862"/>
      <c r="K157" s="687"/>
      <c r="L157" s="105"/>
      <c r="M157" s="106"/>
      <c r="N157" s="106" t="s">
        <v>419</v>
      </c>
      <c r="O157" s="106"/>
      <c r="P157" s="106"/>
      <c r="Q157" s="106"/>
      <c r="R157" s="106"/>
      <c r="S157" s="584"/>
      <c r="T157" s="584"/>
      <c r="U157" s="584"/>
      <c r="V157" s="584"/>
      <c r="W157" s="107"/>
      <c r="Y157" s="4"/>
      <c r="Z157" s="4"/>
      <c r="AA157" s="4"/>
      <c r="AB157" s="4"/>
      <c r="AC157" s="4"/>
      <c r="AD157" s="4"/>
      <c r="AE157" s="4"/>
      <c r="AF157" s="4"/>
      <c r="AG157" s="4"/>
      <c r="AH157" s="4"/>
      <c r="AI157" s="4"/>
      <c r="AJ157" s="4"/>
      <c r="AK157" s="4"/>
    </row>
    <row r="158" spans="1:43" s="22" customFormat="1" ht="17.25" customHeight="1">
      <c r="A158" s="108"/>
      <c r="D158" s="698"/>
      <c r="E158" s="698"/>
      <c r="F158" s="687"/>
      <c r="G158" s="866"/>
      <c r="H158" s="105"/>
      <c r="I158" s="106"/>
      <c r="J158" s="106" t="s">
        <v>451</v>
      </c>
      <c r="K158" s="106"/>
      <c r="L158" s="106"/>
      <c r="M158" s="106"/>
      <c r="N158" s="106"/>
      <c r="O158" s="106"/>
      <c r="P158" s="106"/>
      <c r="Q158" s="106"/>
      <c r="R158" s="106"/>
      <c r="S158" s="584"/>
      <c r="T158" s="584"/>
      <c r="U158" s="584"/>
      <c r="V158" s="584"/>
      <c r="W158" s="107"/>
      <c r="Y158" s="4"/>
      <c r="Z158" s="4"/>
      <c r="AA158" s="4"/>
      <c r="AB158" s="4"/>
      <c r="AC158" s="4"/>
      <c r="AD158" s="4"/>
      <c r="AE158" s="4"/>
      <c r="AF158" s="4"/>
      <c r="AG158" s="4"/>
      <c r="AH158" s="4"/>
      <c r="AI158" s="4"/>
      <c r="AJ158" s="4"/>
      <c r="AK158" s="4"/>
    </row>
    <row r="159" spans="1:43" ht="17.25" customHeight="1">
      <c r="G159" s="108"/>
      <c r="H159" s="108"/>
      <c r="I159" s="108"/>
    </row>
    <row r="160" spans="1:43" s="22" customFormat="1" ht="17.25" customHeight="1">
      <c r="A160" s="108"/>
      <c r="C160" s="16"/>
      <c r="D160" s="578"/>
      <c r="E160" s="585"/>
      <c r="F160" s="570"/>
      <c r="G160" s="586"/>
      <c r="H160" s="698"/>
      <c r="I160" s="698">
        <v>1</v>
      </c>
      <c r="J160" s="865"/>
      <c r="K160" s="686" t="s">
        <v>66</v>
      </c>
      <c r="L160" s="679"/>
      <c r="M160" s="679" t="s">
        <v>110</v>
      </c>
      <c r="N160" s="866" t="str">
        <f>IF(Z160="","",INDEX(TERRITORY_MR_LIST,MATCH(Z160,TERRITORY_LIST_ID,0)))</f>
        <v/>
      </c>
      <c r="O160" s="686" t="s">
        <v>66</v>
      </c>
      <c r="P160" s="679"/>
      <c r="Q160" s="679" t="s">
        <v>110</v>
      </c>
      <c r="R160" s="707" t="s">
        <v>22</v>
      </c>
      <c r="S160" s="688" t="s">
        <v>66</v>
      </c>
      <c r="T160" s="31"/>
      <c r="U160" s="31" t="s">
        <v>110</v>
      </c>
      <c r="V160" s="139" t="s">
        <v>22</v>
      </c>
      <c r="W160" s="25"/>
      <c r="Y160" s="4"/>
      <c r="Z160" s="4"/>
      <c r="AA160" s="4"/>
      <c r="AB160" s="4"/>
      <c r="AC160" s="4"/>
      <c r="AD160" s="4"/>
      <c r="AE160" s="4"/>
      <c r="AF160" s="4"/>
      <c r="AG160" s="4"/>
      <c r="AH160" s="4"/>
      <c r="AI160" s="4"/>
      <c r="AJ160" s="4"/>
      <c r="AK160" s="4"/>
      <c r="AN160" s="4"/>
      <c r="AO160" s="4"/>
      <c r="AP160" s="4"/>
      <c r="AQ160" s="4"/>
    </row>
    <row r="161" spans="1:43" s="22" customFormat="1" ht="17.25" customHeight="1">
      <c r="A161" s="108"/>
      <c r="D161" s="578"/>
      <c r="E161" s="585"/>
      <c r="F161" s="570"/>
      <c r="G161" s="586"/>
      <c r="H161" s="698"/>
      <c r="I161" s="698"/>
      <c r="J161" s="865"/>
      <c r="K161" s="689"/>
      <c r="L161" s="679"/>
      <c r="M161" s="679"/>
      <c r="N161" s="866"/>
      <c r="O161" s="689"/>
      <c r="P161" s="679"/>
      <c r="Q161" s="679"/>
      <c r="R161" s="707"/>
      <c r="S161" s="688"/>
      <c r="T161" s="105"/>
      <c r="U161" s="106"/>
      <c r="V161" s="106" t="s">
        <v>417</v>
      </c>
      <c r="W161" s="107"/>
      <c r="Y161" s="4"/>
      <c r="Z161" s="4"/>
      <c r="AA161" s="4"/>
      <c r="AB161" s="4"/>
      <c r="AC161" s="4"/>
      <c r="AD161" s="4"/>
      <c r="AE161" s="4"/>
      <c r="AF161" s="4"/>
      <c r="AG161" s="4"/>
      <c r="AH161" s="4"/>
      <c r="AI161" s="4"/>
      <c r="AJ161" s="4"/>
      <c r="AK161" s="4"/>
    </row>
    <row r="162" spans="1:43" s="22" customFormat="1" ht="17.25" customHeight="1">
      <c r="A162" s="108"/>
      <c r="D162" s="578"/>
      <c r="E162" s="585"/>
      <c r="F162" s="570"/>
      <c r="G162" s="586"/>
      <c r="H162" s="698"/>
      <c r="I162" s="698"/>
      <c r="J162" s="862"/>
      <c r="K162" s="689"/>
      <c r="L162" s="698"/>
      <c r="M162" s="698"/>
      <c r="N162" s="866"/>
      <c r="O162" s="687"/>
      <c r="P162" s="105"/>
      <c r="Q162" s="106"/>
      <c r="R162" s="106" t="s">
        <v>418</v>
      </c>
      <c r="S162" s="584"/>
      <c r="T162" s="584"/>
      <c r="U162" s="584"/>
      <c r="V162" s="584"/>
      <c r="W162" s="107"/>
      <c r="Y162" s="4"/>
      <c r="Z162" s="4"/>
      <c r="AA162" s="4"/>
      <c r="AB162" s="4"/>
      <c r="AC162" s="4"/>
      <c r="AD162" s="4"/>
      <c r="AE162" s="4"/>
      <c r="AF162" s="4"/>
      <c r="AG162" s="4"/>
      <c r="AH162" s="4"/>
      <c r="AI162" s="4"/>
      <c r="AJ162" s="4"/>
      <c r="AK162" s="4"/>
    </row>
    <row r="163" spans="1:43" s="22" customFormat="1" ht="17.25" customHeight="1">
      <c r="A163" s="108"/>
      <c r="D163" s="578"/>
      <c r="E163" s="585"/>
      <c r="F163" s="570"/>
      <c r="G163" s="586"/>
      <c r="H163" s="698"/>
      <c r="I163" s="698"/>
      <c r="J163" s="862"/>
      <c r="K163" s="687"/>
      <c r="L163" s="105"/>
      <c r="M163" s="106"/>
      <c r="N163" s="106" t="s">
        <v>419</v>
      </c>
      <c r="O163" s="106"/>
      <c r="P163" s="106"/>
      <c r="Q163" s="106"/>
      <c r="R163" s="106"/>
      <c r="S163" s="584"/>
      <c r="T163" s="584"/>
      <c r="U163" s="584"/>
      <c r="V163" s="584"/>
      <c r="W163" s="107"/>
      <c r="Y163" s="4"/>
      <c r="Z163" s="4"/>
      <c r="AA163" s="4"/>
      <c r="AB163" s="4"/>
      <c r="AC163" s="4"/>
      <c r="AD163" s="4"/>
      <c r="AE163" s="4"/>
      <c r="AF163" s="4"/>
      <c r="AG163" s="4"/>
      <c r="AH163" s="4"/>
      <c r="AI163" s="4"/>
      <c r="AJ163" s="4"/>
      <c r="AK163" s="4"/>
    </row>
    <row r="164" spans="1:43" ht="17.25" customHeight="1">
      <c r="G164" s="108"/>
      <c r="H164" s="108"/>
      <c r="I164" s="108"/>
    </row>
    <row r="165" spans="1:43" s="22" customFormat="1" ht="17.25" customHeight="1">
      <c r="A165" s="108"/>
      <c r="C165" s="16"/>
      <c r="D165" s="578"/>
      <c r="E165" s="585"/>
      <c r="F165" s="570"/>
      <c r="G165" s="586"/>
      <c r="H165" s="578"/>
      <c r="I165" s="578"/>
      <c r="J165" s="556"/>
      <c r="K165" s="564"/>
      <c r="L165" s="679"/>
      <c r="M165" s="679" t="s">
        <v>110</v>
      </c>
      <c r="N165" s="866" t="str">
        <f>IF(Z165="","",INDEX(TERRITORY_MR_LIST,MATCH(Z165,TERRITORY_LIST_ID,0)))</f>
        <v/>
      </c>
      <c r="O165" s="686" t="s">
        <v>66</v>
      </c>
      <c r="P165" s="679"/>
      <c r="Q165" s="679" t="s">
        <v>110</v>
      </c>
      <c r="R165" s="707" t="s">
        <v>22</v>
      </c>
      <c r="S165" s="688" t="s">
        <v>66</v>
      </c>
      <c r="T165" s="31"/>
      <c r="U165" s="31" t="s">
        <v>110</v>
      </c>
      <c r="V165" s="139" t="s">
        <v>22</v>
      </c>
      <c r="W165" s="25"/>
      <c r="Y165" s="4"/>
      <c r="Z165" s="4"/>
      <c r="AA165" s="4"/>
      <c r="AB165" s="4"/>
      <c r="AC165" s="4"/>
      <c r="AD165" s="4"/>
      <c r="AE165" s="4"/>
      <c r="AF165" s="4"/>
      <c r="AG165" s="4"/>
      <c r="AH165" s="4"/>
      <c r="AI165" s="4"/>
      <c r="AJ165" s="4"/>
      <c r="AK165" s="4"/>
      <c r="AN165" s="4"/>
      <c r="AO165" s="4"/>
      <c r="AP165" s="4"/>
      <c r="AQ165" s="4"/>
    </row>
    <row r="166" spans="1:43" s="22" customFormat="1" ht="17.25" customHeight="1">
      <c r="A166" s="108"/>
      <c r="D166" s="578"/>
      <c r="E166" s="585"/>
      <c r="F166" s="570"/>
      <c r="G166" s="586"/>
      <c r="H166" s="578"/>
      <c r="I166" s="578"/>
      <c r="J166" s="556"/>
      <c r="K166" s="564"/>
      <c r="L166" s="679"/>
      <c r="M166" s="679"/>
      <c r="N166" s="866"/>
      <c r="O166" s="689"/>
      <c r="P166" s="679"/>
      <c r="Q166" s="679"/>
      <c r="R166" s="707"/>
      <c r="S166" s="688"/>
      <c r="T166" s="105"/>
      <c r="U166" s="106"/>
      <c r="V166" s="106" t="s">
        <v>417</v>
      </c>
      <c r="W166" s="107"/>
      <c r="Y166" s="4"/>
      <c r="Z166" s="4"/>
      <c r="AA166" s="4"/>
      <c r="AB166" s="4"/>
      <c r="AC166" s="4"/>
      <c r="AD166" s="4"/>
      <c r="AE166" s="4"/>
      <c r="AF166" s="4"/>
      <c r="AG166" s="4"/>
      <c r="AH166" s="4"/>
      <c r="AI166" s="4"/>
      <c r="AJ166" s="4"/>
      <c r="AK166" s="4"/>
    </row>
    <row r="167" spans="1:43" s="22" customFormat="1" ht="17.25" customHeight="1">
      <c r="A167" s="108"/>
      <c r="D167" s="578"/>
      <c r="E167" s="585"/>
      <c r="F167" s="570"/>
      <c r="G167" s="586"/>
      <c r="H167" s="578"/>
      <c r="I167" s="578"/>
      <c r="J167" s="556"/>
      <c r="K167" s="564"/>
      <c r="L167" s="698"/>
      <c r="M167" s="698"/>
      <c r="N167" s="866"/>
      <c r="O167" s="687"/>
      <c r="P167" s="105"/>
      <c r="Q167" s="106"/>
      <c r="R167" s="106" t="s">
        <v>418</v>
      </c>
      <c r="S167" s="584"/>
      <c r="T167" s="584"/>
      <c r="U167" s="584"/>
      <c r="V167" s="584"/>
      <c r="W167" s="107"/>
      <c r="Y167" s="4"/>
      <c r="Z167" s="4"/>
      <c r="AA167" s="4"/>
      <c r="AB167" s="4"/>
      <c r="AC167" s="4"/>
      <c r="AD167" s="4"/>
      <c r="AE167" s="4"/>
      <c r="AF167" s="4"/>
      <c r="AG167" s="4"/>
      <c r="AH167" s="4"/>
      <c r="AI167" s="4"/>
      <c r="AJ167" s="4"/>
      <c r="AK167" s="4"/>
    </row>
    <row r="168" spans="1:43" ht="17.25" customHeight="1">
      <c r="G168" s="108"/>
      <c r="H168" s="108"/>
      <c r="I168" s="108"/>
    </row>
    <row r="169" spans="1:43" s="22" customFormat="1" ht="17.25" customHeight="1">
      <c r="A169" s="108"/>
      <c r="C169" s="16"/>
      <c r="D169" s="578"/>
      <c r="E169" s="585"/>
      <c r="F169" s="570"/>
      <c r="G169" s="586"/>
      <c r="H169" s="578"/>
      <c r="I169" s="578"/>
      <c r="J169" s="556"/>
      <c r="K169" s="564"/>
      <c r="L169" s="498"/>
      <c r="M169" s="498"/>
      <c r="N169" s="586"/>
      <c r="O169" s="554"/>
      <c r="P169" s="679"/>
      <c r="Q169" s="679" t="s">
        <v>110</v>
      </c>
      <c r="R169" s="707" t="s">
        <v>22</v>
      </c>
      <c r="S169" s="688" t="s">
        <v>66</v>
      </c>
      <c r="T169" s="31"/>
      <c r="U169" s="31" t="s">
        <v>110</v>
      </c>
      <c r="V169" s="139" t="s">
        <v>22</v>
      </c>
      <c r="W169" s="25"/>
      <c r="Y169" s="4"/>
      <c r="Z169" s="4"/>
      <c r="AA169" s="4"/>
      <c r="AB169" s="4"/>
      <c r="AC169" s="4"/>
      <c r="AD169" s="4"/>
      <c r="AE169" s="4"/>
      <c r="AF169" s="4"/>
      <c r="AG169" s="4"/>
      <c r="AH169" s="4"/>
      <c r="AI169" s="4"/>
      <c r="AJ169" s="4"/>
      <c r="AK169" s="4"/>
      <c r="AN169" s="4"/>
      <c r="AO169" s="4"/>
      <c r="AP169" s="4"/>
      <c r="AQ169" s="4"/>
    </row>
    <row r="170" spans="1:43" s="22" customFormat="1" ht="17.25" customHeight="1">
      <c r="A170" s="108"/>
      <c r="D170" s="578"/>
      <c r="E170" s="585"/>
      <c r="F170" s="570"/>
      <c r="G170" s="586"/>
      <c r="H170" s="578"/>
      <c r="I170" s="578"/>
      <c r="J170" s="556"/>
      <c r="K170" s="564"/>
      <c r="L170" s="498"/>
      <c r="M170" s="498"/>
      <c r="N170" s="586"/>
      <c r="O170" s="554"/>
      <c r="P170" s="679"/>
      <c r="Q170" s="679"/>
      <c r="R170" s="707"/>
      <c r="S170" s="688"/>
      <c r="T170" s="105"/>
      <c r="U170" s="106"/>
      <c r="V170" s="106" t="s">
        <v>417</v>
      </c>
      <c r="W170" s="107"/>
      <c r="Y170" s="4"/>
      <c r="Z170" s="4"/>
      <c r="AA170" s="4"/>
      <c r="AB170" s="4"/>
      <c r="AC170" s="4"/>
      <c r="AD170" s="4"/>
      <c r="AE170" s="4"/>
      <c r="AF170" s="4"/>
      <c r="AG170" s="4"/>
      <c r="AH170" s="4"/>
      <c r="AI170" s="4"/>
      <c r="AJ170" s="4"/>
      <c r="AK170" s="4"/>
    </row>
    <row r="171" spans="1:43" ht="17.25" customHeight="1">
      <c r="G171" s="108"/>
      <c r="H171" s="108"/>
      <c r="I171" s="108"/>
    </row>
    <row r="172" spans="1:43" s="22" customFormat="1" ht="17.25" customHeight="1">
      <c r="A172" s="108"/>
      <c r="C172" s="16"/>
      <c r="D172" s="578"/>
      <c r="E172" s="585"/>
      <c r="F172" s="570"/>
      <c r="G172" s="586"/>
      <c r="H172" s="498"/>
      <c r="I172" s="498"/>
      <c r="J172" s="561"/>
      <c r="K172" s="586"/>
      <c r="L172" s="498"/>
      <c r="M172" s="498"/>
      <c r="N172" s="586"/>
      <c r="O172" s="586"/>
      <c r="P172" s="498"/>
      <c r="Q172" s="498"/>
      <c r="R172" s="562"/>
      <c r="S172" s="586"/>
      <c r="T172" s="31"/>
      <c r="U172" s="31" t="s">
        <v>110</v>
      </c>
      <c r="V172" s="139" t="s">
        <v>22</v>
      </c>
      <c r="W172" s="25"/>
      <c r="Y172" s="4"/>
      <c r="Z172" s="4"/>
      <c r="AA172" s="4"/>
      <c r="AB172" s="4"/>
      <c r="AC172" s="4"/>
      <c r="AD172" s="4"/>
      <c r="AE172" s="4"/>
      <c r="AF172" s="4"/>
      <c r="AG172" s="4"/>
      <c r="AH172" s="4"/>
      <c r="AI172" s="4"/>
      <c r="AJ172" s="4"/>
      <c r="AK172" s="4"/>
      <c r="AN172" s="4"/>
      <c r="AO172" s="4"/>
      <c r="AP172" s="4"/>
      <c r="AQ172" s="4"/>
    </row>
    <row r="174" spans="1:43" s="573" customFormat="1" ht="17.25" customHeight="1">
      <c r="A174" s="573" t="s">
        <v>1940</v>
      </c>
    </row>
    <row r="175" spans="1:43" ht="17.25" customHeight="1">
      <c r="G175" s="108"/>
      <c r="H175" s="108"/>
      <c r="I175" s="108"/>
    </row>
    <row r="176" spans="1:43" s="22" customFormat="1" ht="17.25" customHeight="1">
      <c r="A176" s="108"/>
      <c r="C176" s="16"/>
      <c r="D176" s="698"/>
      <c r="E176" s="679"/>
      <c r="F176" s="686"/>
      <c r="G176" s="688"/>
      <c r="H176" s="698"/>
      <c r="I176" s="698">
        <v>1</v>
      </c>
      <c r="J176" s="865"/>
      <c r="K176" s="686" t="s">
        <v>66</v>
      </c>
      <c r="L176" s="679"/>
      <c r="M176" s="679" t="s">
        <v>110</v>
      </c>
      <c r="N176" s="866" t="str">
        <f>IF(Z176="","",INDEX(TERRITORY_MR_LIST,MATCH(Z176,TERRITORY_LIST_ID,0)))</f>
        <v/>
      </c>
      <c r="O176" s="686" t="s">
        <v>66</v>
      </c>
      <c r="P176" s="679"/>
      <c r="Q176" s="679" t="s">
        <v>110</v>
      </c>
      <c r="R176" s="707" t="s">
        <v>22</v>
      </c>
      <c r="S176" s="775" t="s">
        <v>19</v>
      </c>
      <c r="T176" s="332"/>
      <c r="U176" s="332" t="s">
        <v>110</v>
      </c>
      <c r="V176" s="353"/>
      <c r="W176" s="865"/>
      <c r="Y176" s="4"/>
      <c r="Z176" s="4"/>
      <c r="AA176" s="4"/>
      <c r="AB176" s="4"/>
      <c r="AC176" s="4"/>
      <c r="AD176" s="4"/>
      <c r="AE176" s="4"/>
      <c r="AF176" s="4"/>
      <c r="AG176" s="4"/>
      <c r="AH176" s="4"/>
      <c r="AI176" s="4"/>
      <c r="AJ176" s="4"/>
      <c r="AK176" s="4"/>
      <c r="AN176" s="4"/>
      <c r="AO176" s="4"/>
      <c r="AP176" s="4"/>
      <c r="AQ176" s="4"/>
    </row>
    <row r="177" spans="1:43" s="22" customFormat="1" ht="17.25" customHeight="1">
      <c r="A177" s="108"/>
      <c r="D177" s="698"/>
      <c r="E177" s="679"/>
      <c r="F177" s="689"/>
      <c r="G177" s="688"/>
      <c r="H177" s="698"/>
      <c r="I177" s="698"/>
      <c r="J177" s="865"/>
      <c r="K177" s="689"/>
      <c r="L177" s="679"/>
      <c r="M177" s="679"/>
      <c r="N177" s="866"/>
      <c r="O177" s="689"/>
      <c r="P177" s="679"/>
      <c r="Q177" s="679"/>
      <c r="R177" s="707"/>
      <c r="S177" s="775"/>
      <c r="T177" s="472"/>
      <c r="U177" s="473"/>
      <c r="V177" s="473"/>
      <c r="W177" s="865"/>
      <c r="Y177" s="4"/>
      <c r="Z177" s="4"/>
      <c r="AA177" s="4"/>
      <c r="AB177" s="4"/>
      <c r="AC177" s="4"/>
      <c r="AD177" s="4"/>
      <c r="AE177" s="4"/>
      <c r="AF177" s="4"/>
      <c r="AG177" s="4"/>
      <c r="AH177" s="4"/>
      <c r="AI177" s="4"/>
      <c r="AJ177" s="4"/>
      <c r="AK177" s="4"/>
    </row>
    <row r="178" spans="1:43" s="22" customFormat="1" ht="17.25" customHeight="1">
      <c r="A178" s="108"/>
      <c r="D178" s="698"/>
      <c r="E178" s="698"/>
      <c r="F178" s="689"/>
      <c r="G178" s="866"/>
      <c r="H178" s="698"/>
      <c r="I178" s="698"/>
      <c r="J178" s="862"/>
      <c r="K178" s="689"/>
      <c r="L178" s="698"/>
      <c r="M178" s="698"/>
      <c r="N178" s="866"/>
      <c r="O178" s="687"/>
      <c r="P178" s="105"/>
      <c r="Q178" s="106"/>
      <c r="R178" s="106" t="s">
        <v>418</v>
      </c>
      <c r="S178" s="584"/>
      <c r="T178" s="584"/>
      <c r="U178" s="584"/>
      <c r="V178" s="584"/>
      <c r="W178" s="471"/>
      <c r="Y178" s="4"/>
      <c r="Z178" s="4"/>
      <c r="AA178" s="4"/>
      <c r="AB178" s="4"/>
      <c r="AC178" s="4"/>
      <c r="AD178" s="4"/>
      <c r="AE178" s="4"/>
      <c r="AF178" s="4"/>
      <c r="AG178" s="4"/>
      <c r="AH178" s="4"/>
      <c r="AI178" s="4"/>
      <c r="AJ178" s="4"/>
      <c r="AK178" s="4"/>
    </row>
    <row r="179" spans="1:43" s="22" customFormat="1" ht="17.25" customHeight="1">
      <c r="A179" s="108"/>
      <c r="D179" s="698"/>
      <c r="E179" s="698"/>
      <c r="F179" s="689"/>
      <c r="G179" s="866"/>
      <c r="H179" s="698"/>
      <c r="I179" s="698"/>
      <c r="J179" s="862"/>
      <c r="K179" s="687"/>
      <c r="L179" s="105"/>
      <c r="M179" s="106"/>
      <c r="N179" s="106" t="s">
        <v>419</v>
      </c>
      <c r="O179" s="106"/>
      <c r="P179" s="106"/>
      <c r="Q179" s="106"/>
      <c r="R179" s="106"/>
      <c r="S179" s="584"/>
      <c r="T179" s="584"/>
      <c r="U179" s="584"/>
      <c r="V179" s="584"/>
      <c r="W179" s="107"/>
      <c r="Y179" s="4"/>
      <c r="Z179" s="4"/>
      <c r="AA179" s="4"/>
      <c r="AB179" s="4"/>
      <c r="AC179" s="4"/>
      <c r="AD179" s="4"/>
      <c r="AE179" s="4"/>
      <c r="AF179" s="4"/>
      <c r="AG179" s="4"/>
      <c r="AH179" s="4"/>
      <c r="AI179" s="4"/>
      <c r="AJ179" s="4"/>
      <c r="AK179" s="4"/>
    </row>
    <row r="180" spans="1:43" s="22" customFormat="1" ht="17.25" customHeight="1">
      <c r="A180" s="108"/>
      <c r="D180" s="698"/>
      <c r="E180" s="698"/>
      <c r="F180" s="687"/>
      <c r="G180" s="866"/>
      <c r="H180" s="105"/>
      <c r="I180" s="106"/>
      <c r="J180" s="106" t="s">
        <v>451</v>
      </c>
      <c r="K180" s="106"/>
      <c r="L180" s="106"/>
      <c r="M180" s="106"/>
      <c r="N180" s="106"/>
      <c r="O180" s="106"/>
      <c r="P180" s="106"/>
      <c r="Q180" s="106"/>
      <c r="R180" s="106"/>
      <c r="S180" s="584"/>
      <c r="T180" s="584"/>
      <c r="U180" s="584"/>
      <c r="V180" s="584"/>
      <c r="W180" s="107"/>
      <c r="Y180" s="4"/>
      <c r="Z180" s="4"/>
      <c r="AA180" s="4"/>
      <c r="AB180" s="4"/>
      <c r="AC180" s="4"/>
      <c r="AD180" s="4"/>
      <c r="AE180" s="4"/>
      <c r="AF180" s="4"/>
      <c r="AG180" s="4"/>
      <c r="AH180" s="4"/>
      <c r="AI180" s="4"/>
      <c r="AJ180" s="4"/>
      <c r="AK180" s="4"/>
    </row>
    <row r="181" spans="1:43" ht="17.25" customHeight="1"/>
    <row r="182" spans="1:43" s="22" customFormat="1" ht="17.25" customHeight="1">
      <c r="A182" s="108"/>
      <c r="C182" s="16"/>
      <c r="D182" s="578"/>
      <c r="E182" s="585"/>
      <c r="F182" s="570"/>
      <c r="G182" s="586"/>
      <c r="H182" s="698"/>
      <c r="I182" s="698">
        <v>1</v>
      </c>
      <c r="J182" s="865"/>
      <c r="K182" s="686" t="s">
        <v>66</v>
      </c>
      <c r="L182" s="679"/>
      <c r="M182" s="679" t="s">
        <v>110</v>
      </c>
      <c r="N182" s="866" t="str">
        <f>IF(Z182="","",INDEX(TERRITORY_MR_LIST,MATCH(Z182,TERRITORY_LIST_ID,0)))</f>
        <v/>
      </c>
      <c r="O182" s="686" t="s">
        <v>66</v>
      </c>
      <c r="P182" s="679"/>
      <c r="Q182" s="679" t="s">
        <v>110</v>
      </c>
      <c r="R182" s="707" t="s">
        <v>22</v>
      </c>
      <c r="S182" s="775" t="s">
        <v>19</v>
      </c>
      <c r="T182" s="332"/>
      <c r="U182" s="332" t="s">
        <v>110</v>
      </c>
      <c r="V182" s="353"/>
      <c r="W182" s="865"/>
      <c r="Y182" s="4"/>
      <c r="Z182" s="4"/>
      <c r="AA182" s="4"/>
      <c r="AB182" s="4"/>
      <c r="AC182" s="4"/>
      <c r="AD182" s="4"/>
      <c r="AE182" s="4"/>
      <c r="AF182" s="4"/>
      <c r="AG182" s="4"/>
      <c r="AH182" s="4"/>
      <c r="AI182" s="4"/>
      <c r="AJ182" s="4"/>
      <c r="AK182" s="4"/>
      <c r="AN182" s="4"/>
      <c r="AO182" s="4"/>
      <c r="AP182" s="4"/>
      <c r="AQ182" s="4"/>
    </row>
    <row r="183" spans="1:43" s="22" customFormat="1" ht="17.25" customHeight="1">
      <c r="A183" s="108"/>
      <c r="D183" s="578"/>
      <c r="E183" s="585"/>
      <c r="F183" s="570"/>
      <c r="G183" s="586"/>
      <c r="H183" s="698"/>
      <c r="I183" s="698"/>
      <c r="J183" s="865"/>
      <c r="K183" s="689"/>
      <c r="L183" s="679"/>
      <c r="M183" s="679"/>
      <c r="N183" s="866"/>
      <c r="O183" s="689"/>
      <c r="P183" s="679"/>
      <c r="Q183" s="679"/>
      <c r="R183" s="707"/>
      <c r="S183" s="775"/>
      <c r="T183" s="472"/>
      <c r="U183" s="473"/>
      <c r="V183" s="473"/>
      <c r="W183" s="865"/>
      <c r="Y183" s="4"/>
      <c r="Z183" s="4"/>
      <c r="AA183" s="4"/>
      <c r="AB183" s="4"/>
      <c r="AC183" s="4"/>
      <c r="AD183" s="4"/>
      <c r="AE183" s="4"/>
      <c r="AF183" s="4"/>
      <c r="AG183" s="4"/>
      <c r="AH183" s="4"/>
      <c r="AI183" s="4"/>
      <c r="AJ183" s="4"/>
      <c r="AK183" s="4"/>
    </row>
    <row r="184" spans="1:43" s="22" customFormat="1" ht="17.25" customHeight="1">
      <c r="A184" s="108"/>
      <c r="D184" s="578"/>
      <c r="E184" s="585"/>
      <c r="F184" s="570"/>
      <c r="G184" s="586"/>
      <c r="H184" s="698"/>
      <c r="I184" s="698"/>
      <c r="J184" s="862"/>
      <c r="K184" s="689"/>
      <c r="L184" s="698"/>
      <c r="M184" s="698"/>
      <c r="N184" s="866"/>
      <c r="O184" s="687"/>
      <c r="P184" s="105"/>
      <c r="Q184" s="106"/>
      <c r="R184" s="106" t="s">
        <v>418</v>
      </c>
      <c r="S184" s="584"/>
      <c r="T184" s="584"/>
      <c r="U184" s="584"/>
      <c r="V184" s="584"/>
      <c r="W184" s="471"/>
      <c r="Y184" s="4"/>
      <c r="Z184" s="4"/>
      <c r="AA184" s="4"/>
      <c r="AB184" s="4"/>
      <c r="AC184" s="4"/>
      <c r="AD184" s="4"/>
      <c r="AE184" s="4"/>
      <c r="AF184" s="4"/>
      <c r="AG184" s="4"/>
      <c r="AH184" s="4"/>
      <c r="AI184" s="4"/>
      <c r="AJ184" s="4"/>
      <c r="AK184" s="4"/>
    </row>
    <row r="185" spans="1:43" s="22" customFormat="1" ht="17.25" customHeight="1">
      <c r="A185" s="108"/>
      <c r="D185" s="578"/>
      <c r="E185" s="585"/>
      <c r="F185" s="570"/>
      <c r="G185" s="586"/>
      <c r="H185" s="698"/>
      <c r="I185" s="698"/>
      <c r="J185" s="862"/>
      <c r="K185" s="687"/>
      <c r="L185" s="105"/>
      <c r="M185" s="106"/>
      <c r="N185" s="106" t="s">
        <v>419</v>
      </c>
      <c r="O185" s="106"/>
      <c r="P185" s="106"/>
      <c r="Q185" s="106"/>
      <c r="R185" s="106"/>
      <c r="S185" s="584"/>
      <c r="T185" s="584"/>
      <c r="U185" s="584"/>
      <c r="V185" s="584"/>
      <c r="W185" s="107"/>
      <c r="Y185" s="4"/>
      <c r="Z185" s="4"/>
      <c r="AA185" s="4"/>
      <c r="AB185" s="4"/>
      <c r="AC185" s="4"/>
      <c r="AD185" s="4"/>
      <c r="AE185" s="4"/>
      <c r="AF185" s="4"/>
      <c r="AG185" s="4"/>
      <c r="AH185" s="4"/>
      <c r="AI185" s="4"/>
      <c r="AJ185" s="4"/>
      <c r="AK185" s="4"/>
    </row>
    <row r="186" spans="1:43" ht="17.25" customHeight="1"/>
    <row r="187" spans="1:43" s="22" customFormat="1" ht="17.25" customHeight="1">
      <c r="A187" s="108"/>
      <c r="C187" s="16"/>
      <c r="D187" s="578"/>
      <c r="E187" s="585"/>
      <c r="F187" s="570"/>
      <c r="G187" s="586"/>
      <c r="H187" s="578"/>
      <c r="I187" s="578"/>
      <c r="J187" s="556"/>
      <c r="K187" s="586"/>
      <c r="L187" s="679"/>
      <c r="M187" s="679" t="s">
        <v>110</v>
      </c>
      <c r="N187" s="866" t="str">
        <f>IF(Z187="","",INDEX(TERRITORY_MR_LIST,MATCH(Z187,TERRITORY_LIST_ID,0)))</f>
        <v/>
      </c>
      <c r="O187" s="686" t="s">
        <v>66</v>
      </c>
      <c r="P187" s="679"/>
      <c r="Q187" s="679" t="s">
        <v>110</v>
      </c>
      <c r="R187" s="707" t="s">
        <v>22</v>
      </c>
      <c r="S187" s="775" t="s">
        <v>19</v>
      </c>
      <c r="T187" s="332"/>
      <c r="U187" s="332" t="s">
        <v>110</v>
      </c>
      <c r="V187" s="353"/>
      <c r="W187" s="865"/>
      <c r="Y187" s="4"/>
      <c r="Z187" s="4"/>
      <c r="AA187" s="4"/>
      <c r="AB187" s="4"/>
      <c r="AC187" s="4"/>
      <c r="AD187" s="4"/>
      <c r="AE187" s="4"/>
      <c r="AF187" s="4"/>
      <c r="AG187" s="4"/>
      <c r="AH187" s="4"/>
      <c r="AI187" s="4"/>
      <c r="AJ187" s="4"/>
      <c r="AK187" s="4"/>
      <c r="AN187" s="4"/>
      <c r="AO187" s="4"/>
      <c r="AP187" s="4"/>
      <c r="AQ187" s="4"/>
    </row>
    <row r="188" spans="1:43" s="22" customFormat="1" ht="17.25" customHeight="1">
      <c r="A188" s="108"/>
      <c r="D188" s="578"/>
      <c r="E188" s="585"/>
      <c r="F188" s="570"/>
      <c r="G188" s="586"/>
      <c r="H188" s="578"/>
      <c r="I188" s="578"/>
      <c r="J188" s="556"/>
      <c r="K188" s="586"/>
      <c r="L188" s="679"/>
      <c r="M188" s="679"/>
      <c r="N188" s="866"/>
      <c r="O188" s="689"/>
      <c r="P188" s="679"/>
      <c r="Q188" s="679"/>
      <c r="R188" s="707"/>
      <c r="S188" s="775"/>
      <c r="T188" s="472"/>
      <c r="U188" s="473"/>
      <c r="V188" s="473"/>
      <c r="W188" s="865"/>
      <c r="Y188" s="4"/>
      <c r="Z188" s="4"/>
      <c r="AA188" s="4"/>
      <c r="AB188" s="4"/>
      <c r="AC188" s="4"/>
      <c r="AD188" s="4"/>
      <c r="AE188" s="4"/>
      <c r="AF188" s="4"/>
      <c r="AG188" s="4"/>
      <c r="AH188" s="4"/>
      <c r="AI188" s="4"/>
      <c r="AJ188" s="4"/>
      <c r="AK188" s="4"/>
    </row>
    <row r="189" spans="1:43" s="22" customFormat="1" ht="17.25" customHeight="1">
      <c r="A189" s="108"/>
      <c r="D189" s="578"/>
      <c r="E189" s="585"/>
      <c r="F189" s="570"/>
      <c r="G189" s="586"/>
      <c r="H189" s="578"/>
      <c r="I189" s="578"/>
      <c r="J189" s="556"/>
      <c r="K189" s="586"/>
      <c r="L189" s="698"/>
      <c r="M189" s="698"/>
      <c r="N189" s="866"/>
      <c r="O189" s="687"/>
      <c r="P189" s="105"/>
      <c r="Q189" s="106"/>
      <c r="R189" s="106" t="s">
        <v>418</v>
      </c>
      <c r="S189" s="584"/>
      <c r="T189" s="584"/>
      <c r="U189" s="584"/>
      <c r="V189" s="584"/>
      <c r="W189" s="471"/>
      <c r="Y189" s="4"/>
      <c r="Z189" s="4"/>
      <c r="AA189" s="4"/>
      <c r="AB189" s="4"/>
      <c r="AC189" s="4"/>
      <c r="AD189" s="4"/>
      <c r="AE189" s="4"/>
      <c r="AF189" s="4"/>
      <c r="AG189" s="4"/>
      <c r="AH189" s="4"/>
      <c r="AI189" s="4"/>
      <c r="AJ189" s="4"/>
      <c r="AK189" s="4"/>
    </row>
    <row r="190" spans="1:43" ht="17.25" customHeight="1"/>
    <row r="191" spans="1:43" s="22" customFormat="1" ht="17.25" customHeight="1">
      <c r="A191" s="108"/>
      <c r="C191" s="16"/>
      <c r="D191" s="578"/>
      <c r="E191" s="585"/>
      <c r="F191" s="570"/>
      <c r="G191" s="586"/>
      <c r="H191" s="578"/>
      <c r="I191" s="578"/>
      <c r="J191" s="556"/>
      <c r="K191" s="586"/>
      <c r="L191" s="578"/>
      <c r="M191" s="578"/>
      <c r="N191" s="586"/>
      <c r="O191" s="554"/>
      <c r="P191" s="679"/>
      <c r="Q191" s="679" t="s">
        <v>110</v>
      </c>
      <c r="R191" s="707" t="s">
        <v>22</v>
      </c>
      <c r="S191" s="775" t="s">
        <v>19</v>
      </c>
      <c r="T191" s="332"/>
      <c r="U191" s="332" t="s">
        <v>110</v>
      </c>
      <c r="V191" s="353"/>
      <c r="W191" s="865"/>
      <c r="Y191" s="4"/>
      <c r="Z191" s="4"/>
      <c r="AA191" s="4"/>
      <c r="AB191" s="4"/>
      <c r="AC191" s="4"/>
      <c r="AD191" s="4"/>
      <c r="AE191" s="4"/>
      <c r="AF191" s="4"/>
      <c r="AG191" s="4"/>
      <c r="AH191" s="4"/>
      <c r="AI191" s="4"/>
      <c r="AJ191" s="4"/>
      <c r="AK191" s="4"/>
      <c r="AN191" s="4"/>
      <c r="AO191" s="4"/>
      <c r="AP191" s="4"/>
      <c r="AQ191" s="4"/>
    </row>
    <row r="192" spans="1:43" s="22" customFormat="1" ht="17.25" customHeight="1">
      <c r="A192" s="108"/>
      <c r="D192" s="578"/>
      <c r="E192" s="585"/>
      <c r="F192" s="570"/>
      <c r="G192" s="586"/>
      <c r="H192" s="578"/>
      <c r="I192" s="578"/>
      <c r="J192" s="556"/>
      <c r="K192" s="586"/>
      <c r="L192" s="578"/>
      <c r="M192" s="578"/>
      <c r="N192" s="586"/>
      <c r="O192" s="554"/>
      <c r="P192" s="679"/>
      <c r="Q192" s="679"/>
      <c r="R192" s="707"/>
      <c r="S192" s="775"/>
      <c r="T192" s="472"/>
      <c r="U192" s="473"/>
      <c r="V192" s="473"/>
      <c r="W192" s="865"/>
      <c r="Y192" s="4"/>
      <c r="Z192" s="4"/>
      <c r="AA192" s="4"/>
      <c r="AB192" s="4"/>
      <c r="AC192" s="4"/>
      <c r="AD192" s="4"/>
      <c r="AE192" s="4"/>
      <c r="AF192" s="4"/>
      <c r="AG192" s="4"/>
      <c r="AH192" s="4"/>
      <c r="AI192" s="4"/>
      <c r="AJ192" s="4"/>
      <c r="AK192" s="4"/>
    </row>
    <row r="193" spans="1:63" ht="17.25" customHeight="1"/>
    <row r="194" spans="1:63" ht="16.5" customHeight="1">
      <c r="A194" s="108"/>
      <c r="B194" s="22"/>
      <c r="C194" s="22"/>
      <c r="D194" s="698"/>
      <c r="E194" s="679"/>
      <c r="F194" s="679"/>
      <c r="G194" s="679"/>
      <c r="H194" s="699"/>
      <c r="I194" s="696"/>
      <c r="J194" s="697"/>
      <c r="K194" s="697"/>
      <c r="L194" s="697"/>
      <c r="M194" s="697"/>
      <c r="N194" s="696"/>
      <c r="O194" s="697"/>
      <c r="P194" s="697"/>
      <c r="Q194" s="697"/>
      <c r="R194" s="696"/>
      <c r="S194" s="697"/>
      <c r="T194" s="470"/>
      <c r="U194" s="470"/>
      <c r="V194" s="469"/>
      <c r="W194" s="438"/>
    </row>
    <row r="195" spans="1:63" ht="16.5" customHeight="1">
      <c r="A195" s="108"/>
      <c r="B195" s="22"/>
      <c r="C195" s="22"/>
      <c r="D195" s="698"/>
      <c r="E195" s="679"/>
      <c r="F195" s="679"/>
      <c r="G195" s="679"/>
      <c r="H195" s="700"/>
      <c r="I195" s="682"/>
      <c r="J195" s="665"/>
      <c r="K195" s="665"/>
      <c r="L195" s="665"/>
      <c r="M195" s="665"/>
      <c r="N195" s="682"/>
      <c r="O195" s="665"/>
      <c r="P195" s="665"/>
      <c r="Q195" s="665"/>
      <c r="R195" s="682"/>
      <c r="S195" s="665"/>
      <c r="T195" s="439"/>
      <c r="U195" s="439"/>
      <c r="V195" s="439"/>
      <c r="W195" s="440"/>
    </row>
    <row r="196" spans="1:63" ht="17.25" customHeight="1">
      <c r="A196" s="108"/>
      <c r="B196" s="22"/>
      <c r="C196" s="22"/>
      <c r="D196" s="698"/>
      <c r="E196" s="679"/>
      <c r="F196" s="679"/>
      <c r="G196" s="679"/>
      <c r="H196" s="700"/>
      <c r="I196" s="682"/>
      <c r="J196" s="682"/>
      <c r="K196" s="665"/>
      <c r="L196" s="665"/>
      <c r="M196" s="665"/>
      <c r="N196" s="682"/>
      <c r="O196" s="665"/>
      <c r="P196" s="23"/>
      <c r="Q196" s="439"/>
      <c r="R196" s="439"/>
      <c r="S196" s="22"/>
      <c r="T196" s="22"/>
      <c r="U196" s="22"/>
      <c r="V196" s="22"/>
      <c r="W196" s="440"/>
    </row>
    <row r="197" spans="1:63" ht="17.25" customHeight="1">
      <c r="A197" s="108"/>
      <c r="B197" s="22"/>
      <c r="C197" s="22"/>
      <c r="D197" s="698"/>
      <c r="E197" s="679"/>
      <c r="F197" s="679"/>
      <c r="G197" s="679"/>
      <c r="H197" s="700"/>
      <c r="I197" s="682"/>
      <c r="J197" s="682"/>
      <c r="K197" s="665"/>
      <c r="L197" s="439"/>
      <c r="M197" s="439"/>
      <c r="N197" s="439"/>
      <c r="O197" s="439"/>
      <c r="P197" s="439"/>
      <c r="Q197" s="439"/>
      <c r="R197" s="439"/>
      <c r="S197" s="22"/>
      <c r="T197" s="22"/>
      <c r="U197" s="22"/>
      <c r="V197" s="22"/>
      <c r="W197" s="440"/>
    </row>
    <row r="198" spans="1:63" ht="17.25" customHeight="1">
      <c r="A198" s="108"/>
      <c r="B198" s="22"/>
      <c r="C198" s="22"/>
      <c r="D198" s="698"/>
      <c r="E198" s="679"/>
      <c r="F198" s="679"/>
      <c r="G198" s="679"/>
      <c r="H198" s="441"/>
      <c r="I198" s="442"/>
      <c r="J198" s="442"/>
      <c r="K198" s="442"/>
      <c r="L198" s="442"/>
      <c r="M198" s="442"/>
      <c r="N198" s="442"/>
      <c r="O198" s="442"/>
      <c r="P198" s="442"/>
      <c r="Q198" s="442"/>
      <c r="R198" s="442"/>
      <c r="S198" s="443"/>
      <c r="T198" s="443"/>
      <c r="U198" s="443"/>
      <c r="V198" s="443"/>
      <c r="W198" s="444"/>
    </row>
    <row r="200" spans="1:63" s="573" customFormat="1" ht="17.25" customHeight="1">
      <c r="A200" s="573" t="s">
        <v>1941</v>
      </c>
    </row>
    <row r="201" spans="1:63" ht="17.25" customHeight="1">
      <c r="G201" s="108"/>
      <c r="H201" s="108"/>
      <c r="I201" s="108"/>
    </row>
    <row r="202" spans="1:63" ht="15" customHeight="1">
      <c r="D202" s="705"/>
      <c r="E202" s="705"/>
      <c r="F202" s="705"/>
      <c r="G202" s="686"/>
      <c r="H202" s="496"/>
      <c r="I202" s="714">
        <v>1</v>
      </c>
      <c r="J202" s="865"/>
      <c r="K202" s="90"/>
      <c r="L202" s="686" t="s">
        <v>66</v>
      </c>
      <c r="M202" s="686" t="s">
        <v>66</v>
      </c>
      <c r="N202" s="496"/>
      <c r="O202" s="679" t="s">
        <v>110</v>
      </c>
      <c r="P202" s="706"/>
      <c r="Q202" s="90"/>
      <c r="R202" s="686" t="s">
        <v>66</v>
      </c>
      <c r="S202" s="686" t="s">
        <v>66</v>
      </c>
      <c r="T202" s="587"/>
      <c r="U202" s="679" t="s">
        <v>110</v>
      </c>
      <c r="V202" s="686" t="str">
        <f>IF(AK202="","",INDEX(TERRITORY_MR_LIST,MATCH(AK202,TERRITORY_LIST_ID,0)))</f>
        <v/>
      </c>
      <c r="W202" s="90"/>
      <c r="X202" s="686" t="s">
        <v>66</v>
      </c>
      <c r="Y202" s="686" t="s">
        <v>19</v>
      </c>
      <c r="Z202" s="496"/>
      <c r="AA202" s="679" t="s">
        <v>110</v>
      </c>
      <c r="AB202" s="686"/>
      <c r="AC202" s="100"/>
      <c r="AD202" s="686" t="s">
        <v>66</v>
      </c>
      <c r="AE202" s="686" t="s">
        <v>19</v>
      </c>
      <c r="AF202" s="90"/>
      <c r="AG202" s="31" t="s">
        <v>110</v>
      </c>
      <c r="AH202" s="502"/>
      <c r="AI202" s="25"/>
    </row>
    <row r="203" spans="1:63" ht="15" customHeight="1">
      <c r="D203" s="705"/>
      <c r="E203" s="705"/>
      <c r="F203" s="705"/>
      <c r="G203" s="689"/>
      <c r="H203" s="496"/>
      <c r="I203" s="714"/>
      <c r="J203" s="865"/>
      <c r="K203" s="349"/>
      <c r="L203" s="689"/>
      <c r="M203" s="689"/>
      <c r="N203" s="496"/>
      <c r="O203" s="679"/>
      <c r="P203" s="706"/>
      <c r="Q203" s="496"/>
      <c r="R203" s="689"/>
      <c r="S203" s="689"/>
      <c r="T203" s="587"/>
      <c r="U203" s="679"/>
      <c r="V203" s="689"/>
      <c r="W203" s="496"/>
      <c r="X203" s="689"/>
      <c r="Y203" s="689"/>
      <c r="Z203" s="496"/>
      <c r="AA203" s="679"/>
      <c r="AB203" s="687"/>
      <c r="AC203" s="101"/>
      <c r="AD203" s="687"/>
      <c r="AE203" s="687"/>
      <c r="AF203" s="497"/>
      <c r="AG203" s="105"/>
      <c r="AH203" s="877" t="s">
        <v>1942</v>
      </c>
      <c r="AI203" s="878"/>
    </row>
    <row r="204" spans="1:63" ht="15" customHeight="1">
      <c r="D204" s="705"/>
      <c r="E204" s="705"/>
      <c r="F204" s="705"/>
      <c r="G204" s="689"/>
      <c r="H204" s="496"/>
      <c r="I204" s="714"/>
      <c r="J204" s="865"/>
      <c r="K204" s="349"/>
      <c r="L204" s="689"/>
      <c r="M204" s="689"/>
      <c r="N204" s="496"/>
      <c r="O204" s="679"/>
      <c r="P204" s="706"/>
      <c r="Q204" s="496"/>
      <c r="R204" s="689"/>
      <c r="S204" s="689"/>
      <c r="T204" s="587"/>
      <c r="U204" s="679"/>
      <c r="V204" s="689"/>
      <c r="W204" s="496"/>
      <c r="X204" s="689"/>
      <c r="Y204" s="689"/>
      <c r="Z204" s="496"/>
      <c r="AA204" s="499"/>
      <c r="AB204" s="879" t="s">
        <v>1943</v>
      </c>
      <c r="AC204" s="879"/>
      <c r="AD204" s="879"/>
      <c r="AE204" s="879"/>
      <c r="AF204" s="879"/>
      <c r="AG204" s="879"/>
      <c r="AH204" s="879"/>
      <c r="AI204" s="880"/>
    </row>
    <row r="205" spans="1:63" ht="15" customHeight="1">
      <c r="D205" s="705"/>
      <c r="E205" s="705"/>
      <c r="F205" s="705"/>
      <c r="G205" s="689"/>
      <c r="H205" s="496"/>
      <c r="I205" s="714"/>
      <c r="J205" s="865"/>
      <c r="K205" s="349"/>
      <c r="L205" s="689"/>
      <c r="M205" s="689"/>
      <c r="N205" s="496"/>
      <c r="O205" s="679"/>
      <c r="P205" s="785"/>
      <c r="Q205" s="496"/>
      <c r="R205" s="689"/>
      <c r="S205" s="689"/>
      <c r="T205" s="587"/>
      <c r="U205" s="499"/>
      <c r="V205" s="877" t="s">
        <v>104</v>
      </c>
      <c r="W205" s="877"/>
      <c r="X205" s="877"/>
      <c r="Y205" s="877"/>
      <c r="Z205" s="877"/>
      <c r="AA205" s="877"/>
      <c r="AB205" s="877"/>
      <c r="AC205" s="877"/>
      <c r="AD205" s="877"/>
      <c r="AE205" s="877"/>
      <c r="AF205" s="877"/>
      <c r="AG205" s="877"/>
      <c r="AH205" s="877"/>
      <c r="AI205" s="878"/>
    </row>
    <row r="206" spans="1:63" ht="11.25" customHeight="1">
      <c r="D206" s="705"/>
      <c r="E206" s="705"/>
      <c r="F206" s="705"/>
      <c r="G206" s="689"/>
      <c r="H206" s="498"/>
      <c r="I206" s="714"/>
      <c r="J206" s="799"/>
      <c r="K206" s="349"/>
      <c r="L206" s="689"/>
      <c r="M206" s="689"/>
      <c r="N206" s="498"/>
      <c r="O206" s="499"/>
      <c r="P206" s="877" t="s">
        <v>1944</v>
      </c>
      <c r="Q206" s="877"/>
      <c r="R206" s="877"/>
      <c r="S206" s="877"/>
      <c r="T206" s="877"/>
      <c r="U206" s="877"/>
      <c r="V206" s="877"/>
      <c r="W206" s="877"/>
      <c r="X206" s="877"/>
      <c r="Y206" s="877"/>
      <c r="Z206" s="877"/>
      <c r="AA206" s="877"/>
      <c r="AB206" s="877"/>
      <c r="AC206" s="877"/>
      <c r="AD206" s="877"/>
      <c r="AE206" s="877"/>
      <c r="AF206" s="877"/>
      <c r="AG206" s="877"/>
      <c r="AH206" s="877"/>
      <c r="AI206" s="878"/>
    </row>
    <row r="207" spans="1:63" s="95" customFormat="1" ht="11.25" customHeight="1">
      <c r="D207" s="705"/>
      <c r="E207" s="705"/>
      <c r="F207" s="705"/>
      <c r="G207" s="687"/>
      <c r="H207" s="500"/>
      <c r="I207" s="501"/>
      <c r="J207" s="877" t="s">
        <v>451</v>
      </c>
      <c r="K207" s="877"/>
      <c r="L207" s="877"/>
      <c r="M207" s="877"/>
      <c r="N207" s="877"/>
      <c r="O207" s="877"/>
      <c r="P207" s="877"/>
      <c r="Q207" s="877"/>
      <c r="R207" s="877"/>
      <c r="S207" s="877"/>
      <c r="T207" s="877"/>
      <c r="U207" s="877"/>
      <c r="V207" s="877"/>
      <c r="W207" s="877"/>
      <c r="X207" s="877"/>
      <c r="Y207" s="877"/>
      <c r="Z207" s="877"/>
      <c r="AA207" s="877"/>
      <c r="AB207" s="877"/>
      <c r="AC207" s="877"/>
      <c r="AD207" s="877"/>
      <c r="AE207" s="877"/>
      <c r="AF207" s="877"/>
      <c r="AG207" s="877"/>
      <c r="AH207" s="877"/>
      <c r="AI207" s="878"/>
      <c r="BK207"/>
    </row>
    <row r="208" spans="1:63" ht="17.25" customHeight="1">
      <c r="G208" s="108"/>
      <c r="I208" s="108"/>
      <c r="J208" s="108"/>
    </row>
    <row r="209" spans="4:63" ht="15" customHeight="1">
      <c r="D209" s="705"/>
      <c r="E209" s="705"/>
      <c r="F209" s="705"/>
      <c r="G209" s="679"/>
      <c r="H209" s="507"/>
      <c r="I209" s="697"/>
      <c r="J209" s="697"/>
      <c r="K209" s="470"/>
      <c r="L209" s="697"/>
      <c r="M209" s="697"/>
      <c r="N209" s="470"/>
      <c r="O209" s="697"/>
      <c r="P209" s="697"/>
      <c r="Q209" s="470"/>
      <c r="R209" s="697"/>
      <c r="S209" s="697"/>
      <c r="T209" s="505"/>
      <c r="U209" s="697"/>
      <c r="V209" s="697"/>
      <c r="W209" s="470"/>
      <c r="X209" s="697"/>
      <c r="Y209" s="697"/>
      <c r="Z209" s="470"/>
      <c r="AA209" s="697"/>
      <c r="AB209" s="697"/>
      <c r="AC209" s="128"/>
      <c r="AD209" s="697"/>
      <c r="AE209" s="697"/>
      <c r="AF209" s="470"/>
      <c r="AG209" s="470"/>
      <c r="AH209" s="470"/>
      <c r="AI209" s="438"/>
    </row>
    <row r="210" spans="4:63" ht="15" customHeight="1">
      <c r="D210" s="705"/>
      <c r="E210" s="705"/>
      <c r="F210" s="705"/>
      <c r="G210" s="679"/>
      <c r="H210" s="508"/>
      <c r="I210" s="665"/>
      <c r="J210" s="665"/>
      <c r="K210" s="4"/>
      <c r="L210" s="665"/>
      <c r="M210" s="665"/>
      <c r="N210" s="23"/>
      <c r="O210" s="665"/>
      <c r="P210" s="665"/>
      <c r="Q210" s="23"/>
      <c r="R210" s="665"/>
      <c r="S210" s="665"/>
      <c r="T210" s="33"/>
      <c r="U210" s="665"/>
      <c r="V210" s="665"/>
      <c r="W210" s="23"/>
      <c r="X210" s="665"/>
      <c r="Y210" s="665"/>
      <c r="Z210" s="23"/>
      <c r="AA210" s="665"/>
      <c r="AB210" s="665"/>
      <c r="AC210" s="4"/>
      <c r="AD210" s="665"/>
      <c r="AE210" s="665"/>
      <c r="AF210" s="439"/>
      <c r="AG210" s="439"/>
      <c r="AH210" s="717"/>
      <c r="AI210" s="718"/>
    </row>
    <row r="211" spans="4:63" ht="15" customHeight="1">
      <c r="D211" s="705"/>
      <c r="E211" s="705"/>
      <c r="F211" s="705"/>
      <c r="G211" s="679"/>
      <c r="H211" s="508"/>
      <c r="I211" s="665"/>
      <c r="J211" s="665"/>
      <c r="K211" s="4"/>
      <c r="L211" s="665"/>
      <c r="M211" s="665"/>
      <c r="N211" s="23"/>
      <c r="O211" s="665"/>
      <c r="P211" s="665"/>
      <c r="Q211" s="23"/>
      <c r="R211" s="665"/>
      <c r="S211" s="665"/>
      <c r="T211" s="33"/>
      <c r="U211" s="665"/>
      <c r="V211" s="665"/>
      <c r="W211" s="23"/>
      <c r="X211" s="665"/>
      <c r="Y211" s="665"/>
      <c r="Z211" s="23"/>
      <c r="AA211" s="439"/>
      <c r="AB211" s="717"/>
      <c r="AC211" s="717"/>
      <c r="AD211" s="717"/>
      <c r="AE211" s="717"/>
      <c r="AF211" s="717"/>
      <c r="AG211" s="717"/>
      <c r="AH211" s="717"/>
      <c r="AI211" s="718"/>
    </row>
    <row r="212" spans="4:63" ht="15" customHeight="1">
      <c r="D212" s="705"/>
      <c r="E212" s="705"/>
      <c r="F212" s="705"/>
      <c r="G212" s="679"/>
      <c r="H212" s="508"/>
      <c r="I212" s="665"/>
      <c r="J212" s="665"/>
      <c r="K212" s="4"/>
      <c r="L212" s="665"/>
      <c r="M212" s="665"/>
      <c r="N212" s="23"/>
      <c r="O212" s="665"/>
      <c r="P212" s="665"/>
      <c r="Q212" s="23"/>
      <c r="R212" s="665"/>
      <c r="S212" s="665"/>
      <c r="T212" s="33"/>
      <c r="U212" s="439"/>
      <c r="V212" s="717"/>
      <c r="W212" s="717"/>
      <c r="X212" s="717"/>
      <c r="Y212" s="717"/>
      <c r="Z212" s="717"/>
      <c r="AA212" s="717"/>
      <c r="AB212" s="717"/>
      <c r="AC212" s="717"/>
      <c r="AD212" s="717"/>
      <c r="AE212" s="717"/>
      <c r="AF212" s="717"/>
      <c r="AG212" s="717"/>
      <c r="AH212" s="717"/>
      <c r="AI212" s="718"/>
    </row>
    <row r="213" spans="4:63" ht="11.25" customHeight="1">
      <c r="D213" s="705"/>
      <c r="E213" s="705"/>
      <c r="F213" s="705"/>
      <c r="G213" s="679"/>
      <c r="H213" s="509"/>
      <c r="I213" s="665"/>
      <c r="J213" s="665"/>
      <c r="K213" s="4"/>
      <c r="L213" s="665"/>
      <c r="M213" s="665"/>
      <c r="N213" s="439"/>
      <c r="O213" s="439"/>
      <c r="P213" s="717"/>
      <c r="Q213" s="717"/>
      <c r="R213" s="717"/>
      <c r="S213" s="717"/>
      <c r="T213" s="717"/>
      <c r="U213" s="717"/>
      <c r="V213" s="717"/>
      <c r="W213" s="717"/>
      <c r="X213" s="717"/>
      <c r="Y213" s="717"/>
      <c r="Z213" s="717"/>
      <c r="AA213" s="717"/>
      <c r="AB213" s="717"/>
      <c r="AC213" s="717"/>
      <c r="AD213" s="717"/>
      <c r="AE213" s="717"/>
      <c r="AF213" s="717"/>
      <c r="AG213" s="717"/>
      <c r="AH213" s="717"/>
      <c r="AI213" s="718"/>
    </row>
    <row r="214" spans="4:63" s="95" customFormat="1" ht="11.25" customHeight="1">
      <c r="D214" s="705"/>
      <c r="E214" s="705"/>
      <c r="F214" s="705"/>
      <c r="G214" s="662"/>
      <c r="H214" s="506"/>
      <c r="I214" s="510"/>
      <c r="J214" s="715"/>
      <c r="K214" s="715"/>
      <c r="L214" s="715"/>
      <c r="M214" s="715"/>
      <c r="N214" s="715"/>
      <c r="O214" s="715"/>
      <c r="P214" s="715"/>
      <c r="Q214" s="715"/>
      <c r="R214" s="715"/>
      <c r="S214" s="715"/>
      <c r="T214" s="715"/>
      <c r="U214" s="715"/>
      <c r="V214" s="715"/>
      <c r="W214" s="715"/>
      <c r="X214" s="715"/>
      <c r="Y214" s="715"/>
      <c r="Z214" s="715"/>
      <c r="AA214" s="715"/>
      <c r="AB214" s="715"/>
      <c r="AC214" s="715"/>
      <c r="AD214" s="715"/>
      <c r="AE214" s="715"/>
      <c r="AF214" s="715"/>
      <c r="AG214" s="715"/>
      <c r="AH214" s="715"/>
      <c r="AI214" s="716"/>
      <c r="BK214"/>
    </row>
    <row r="215" spans="4:63" ht="17.25" customHeight="1"/>
  </sheetData>
  <sheetProtection formatColumns="0" formatRows="0" insertRows="0" deleteColumns="0" deleteRows="0" sort="0" autoFilter="0"/>
  <mergeCells count="287">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V91:V93"/>
    <mergeCell ref="W91:W93"/>
    <mergeCell ref="X91:X93"/>
    <mergeCell ref="Y91:Y93"/>
    <mergeCell ref="H101:H105"/>
    <mergeCell ref="I101:I105"/>
    <mergeCell ref="J101:J105"/>
    <mergeCell ref="K101:K105"/>
    <mergeCell ref="L101:L105"/>
    <mergeCell ref="M101:M105"/>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D209:D214"/>
    <mergeCell ref="E209:E214"/>
    <mergeCell ref="F209:F214"/>
    <mergeCell ref="G209:G214"/>
    <mergeCell ref="I209:I213"/>
    <mergeCell ref="J209:J213"/>
    <mergeCell ref="L209:L213"/>
    <mergeCell ref="M209:M213"/>
    <mergeCell ref="O209:O212"/>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176:D180"/>
    <mergeCell ref="E176:E180"/>
    <mergeCell ref="F176:F180"/>
    <mergeCell ref="G176:G180"/>
    <mergeCell ref="H176:H179"/>
    <mergeCell ref="I176:I179"/>
    <mergeCell ref="J176:J179"/>
    <mergeCell ref="K176:K179"/>
    <mergeCell ref="L176:L178"/>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Y72:Y73"/>
    <mergeCell ref="S72:S73"/>
    <mergeCell ref="T72:T73"/>
    <mergeCell ref="M72:M73"/>
    <mergeCell ref="N72:N73"/>
    <mergeCell ref="O72:O73"/>
    <mergeCell ref="Q72:Q73"/>
    <mergeCell ref="R72:R73"/>
    <mergeCell ref="W72:W73"/>
    <mergeCell ref="X72:X73"/>
    <mergeCell ref="P72:P73"/>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A13:A15"/>
    <mergeCell ref="D23:D25"/>
    <mergeCell ref="E23:E25"/>
    <mergeCell ref="F23:F25"/>
    <mergeCell ref="G23:G24"/>
    <mergeCell ref="H23:H24"/>
    <mergeCell ref="I23:I24"/>
    <mergeCell ref="J23:J24"/>
    <mergeCell ref="G29:G30"/>
    <mergeCell ref="H29:H30"/>
    <mergeCell ref="I29:I30"/>
    <mergeCell ref="J29:J30"/>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s>
  <dataValidations count="2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xr:uid="{00000000-0002-0000-3C00-000000000000}">
      <formula1>900</formula1>
    </dataValidation>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xr:uid="{00000000-0002-0000-3C00-00000100000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xr:uid="{00000000-0002-0000-3C00-000002000000}"/>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xr:uid="{00000000-0002-0000-3C00-000003000000}">
      <formula1>0</formula1>
      <formula2>9.99999999999999E+23</formula2>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xr:uid="{00000000-0002-0000-3C00-000004000000}"/>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xr:uid="{00000000-0002-0000-3C00-000005000000}">
      <formula1>DESCRIPTION_TERRITORY</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64 K56 F68" xr:uid="{00000000-0002-0000-3C00-000006000000}">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xr:uid="{00000000-0002-0000-3C00-000007000000}">
      <formula1>"a"</formula1>
    </dataValidation>
    <dataValidation type="textLength" operator="lessThan" allowBlank="1" showInputMessage="1" showErrorMessage="1" error="Допускается ввод не более 900 символов!" sqref="M29 M23" xr:uid="{00000000-0002-0000-3C00-000008000000}">
      <formula1>900</formula1>
    </dataValidation>
    <dataValidation type="list" allowBlank="1" showInputMessage="1" showErrorMessage="1" sqref="I34" xr:uid="{00000000-0002-0000-3C00-000009000000}">
      <formula1>DESCRIPTION_TERRITORY</formula1>
    </dataValidation>
    <dataValidation allowBlank="1" showInputMessage="1" showErrorMessage="1" prompt="Изменение значения по двойному щелчоку левой кнопки мыши" sqref="J56" xr:uid="{00000000-0002-0000-3C00-00000A000000}"/>
    <dataValidation type="list" allowBlank="1" showInputMessage="1" showErrorMessage="1" errorTitle="Ошибка" error="Выберите значение из списка" prompt="Выберите значение из списка" sqref="L60" xr:uid="{00000000-0002-0000-3C00-00000B000000}">
      <formula1>kind_of_power_te_unit</formula1>
    </dataValidation>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xr:uid="{00000000-0002-0000-3C00-00000C000000}">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xr:uid="{00000000-0002-0000-3C00-00000D000000}"/>
    <dataValidation allowBlank="1" showInputMessage="1" showErrorMessage="1" promptTitle="Ввод" prompt="Для выбора ИП необходимо два раза нажать левую кнопку мыши!" sqref="G72 G77" xr:uid="{00000000-0002-0000-3C00-00000E000000}"/>
    <dataValidation type="list" allowBlank="1" showInputMessage="1" showErrorMessage="1" errorTitle="Ошибка" error="Выберите значение из списка" prompt="Выберите значение из списка" sqref="J140:J141 J147:J148 J150" xr:uid="{00000000-0002-0000-3C00-00000F000000}">
      <formula1>kind_of_purchase_method</formula1>
    </dataValidation>
    <dataValidation type="list" allowBlank="1" showInputMessage="1" showErrorMessage="1" errorTitle="Ошибка" error="Выберите значение из списка" prompt="Выберите значение из списка" sqref="H110" xr:uid="{00000000-0002-0000-3C00-000010000000}">
      <formula1>QRE_METHOD_LIST</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xr:uid="{00000000-0002-0000-3C00-000011000000}"/>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xr:uid="{00000000-0002-0000-3C00-000012000000}">
      <formula1>list_typeTKO</formula1>
    </dataValidation>
    <dataValidation type="decimal" allowBlank="1" showErrorMessage="1" errorTitle="Ошибка" error="Допускается ввод только действительных чисел!" sqref="CY110:DJ110 BT110:CK110 O110:AB110" xr:uid="{00000000-0002-0000-3C00-000013000000}">
      <formula1>-9.99999999999999E+23</formula1>
      <formula2>9.99999999999999E+23</formula2>
    </dataValidation>
  </dataValidations>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4462E7-B3B9-15BB-30DA-CC46E57C6D67}">
  <sheetPr>
    <tabColor rgb="FFFFCC99"/>
  </sheetPr>
  <dimension ref="A1:H34"/>
  <sheetViews>
    <sheetView showGridLines="0" workbookViewId="0"/>
  </sheetViews>
  <sheetFormatPr defaultColWidth="43.140625" defaultRowHeight="9" customHeight="1"/>
  <cols>
    <col min="1" max="1" width="43.140625" style="278"/>
    <col min="2" max="2" width="43.140625" style="278" hidden="1"/>
    <col min="3" max="3" width="43.140625" style="278"/>
    <col min="4" max="5" width="36.42578125" style="278" customWidth="1"/>
    <col min="6" max="8" width="36.42578125" style="286" customWidth="1"/>
  </cols>
  <sheetData>
    <row r="1" spans="1:8" ht="9" customHeight="1">
      <c r="A1" s="280" t="s">
        <v>1945</v>
      </c>
      <c r="B1" s="280"/>
      <c r="C1" s="315" t="s">
        <v>1946</v>
      </c>
      <c r="D1" s="279" t="s">
        <v>811</v>
      </c>
      <c r="E1" s="279" t="s">
        <v>857</v>
      </c>
      <c r="F1" s="279" t="s">
        <v>910</v>
      </c>
      <c r="G1" s="279" t="s">
        <v>897</v>
      </c>
      <c r="H1" s="279" t="s">
        <v>1622</v>
      </c>
    </row>
    <row r="2" spans="1:8" ht="9" customHeight="1">
      <c r="A2" s="315" t="s">
        <v>1947</v>
      </c>
      <c r="B2" s="315"/>
      <c r="C2" s="316" t="str">
        <f>INDEX(TEMPLATE_NUMBER_FORM_LIST,MATCH(TEMPLATE_SPHERE,TEMPLATE_SPHERE_LIST,0))</f>
        <v>16</v>
      </c>
      <c r="D2" s="315" t="s">
        <v>1471</v>
      </c>
      <c r="E2" s="315" t="s">
        <v>154</v>
      </c>
      <c r="F2" s="316" t="s">
        <v>154</v>
      </c>
      <c r="G2" s="315" t="s">
        <v>154</v>
      </c>
      <c r="H2" s="281"/>
    </row>
    <row r="3" spans="1:8" ht="63" customHeight="1">
      <c r="A3" s="280"/>
      <c r="B3" s="280" t="s">
        <v>110</v>
      </c>
      <c r="C3" s="316" t="str">
        <f>IF(TEMPLATE_SPHERE="HEAT",D3,IF(TEMPLATE_SPHERE="TKO",H3,E3))</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D3" s="316" t="s">
        <v>1948</v>
      </c>
      <c r="E3" s="316"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теплоснабжения,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теплоснабжения</v>
      </c>
      <c r="F3" s="316"/>
      <c r="G3" s="281"/>
      <c r="H3" s="280"/>
    </row>
    <row r="4" spans="1:8" ht="243" customHeight="1">
      <c r="A4" s="280" t="s">
        <v>1949</v>
      </c>
      <c r="B4" s="280" t="s">
        <v>111</v>
      </c>
      <c r="C4" s="316" t="str">
        <f>IF(TEMPLATE_SPHERE="HEAT",D4,IF(TEMPLATE_SPHERE="TKO",H4,E4))</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D4" s="315" t="s">
        <v>1950</v>
      </c>
      <c r="E4" s="316"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4" s="315"/>
      <c r="G4" s="315"/>
      <c r="H4" s="280" t="s">
        <v>1951</v>
      </c>
    </row>
    <row r="5" spans="1:8" ht="117" customHeight="1">
      <c r="A5" s="280" t="s">
        <v>1952</v>
      </c>
      <c r="B5" s="280" t="s">
        <v>90</v>
      </c>
      <c r="C5" s="316" t="str">
        <f>IF(TEMPLATE_SPHERE="HEAT",D5,IF(TEMPLATE_SPHERE="TKO",H5,E5))</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D5" s="280" t="s">
        <v>1953</v>
      </c>
      <c r="E5" s="281"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теплоснабжения</v>
      </c>
      <c r="F5" s="281"/>
      <c r="G5" s="281"/>
      <c r="H5" s="280" t="s">
        <v>1954</v>
      </c>
    </row>
    <row r="6" spans="1:8" ht="90" customHeight="1">
      <c r="A6" s="280" t="s">
        <v>1955</v>
      </c>
      <c r="B6" s="280" t="s">
        <v>91</v>
      </c>
      <c r="C6" s="316" t="str">
        <f>IF(TEMPLATE_SPHERE="HEAT",D6,E6)</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D6" s="281" t="str">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E6" s="281"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теплоснабжения, включая структуру основных производственных затрат (в части регулируемых видов деятельности в сфере теплоснабжения)</v>
      </c>
      <c r="F6" s="280"/>
      <c r="G6" s="280"/>
      <c r="H6" s="281"/>
    </row>
    <row r="7" spans="1:8" ht="45" customHeight="1">
      <c r="A7" s="280" t="s">
        <v>1956</v>
      </c>
      <c r="B7" s="280" t="s">
        <v>112</v>
      </c>
      <c r="C7" s="316" t="str">
        <f>IF(TEMPLATE_SPHERE="HEAT",D7,E7)</f>
        <v>Форма 11. Информация о расходах на капитальный и текущий ремонт основных средств</v>
      </c>
      <c r="D7" s="280" t="s">
        <v>1957</v>
      </c>
      <c r="E7" s="280" t="s">
        <v>1958</v>
      </c>
      <c r="F7" s="281"/>
      <c r="G7" s="281"/>
      <c r="H7" s="281"/>
    </row>
    <row r="8" spans="1:8" ht="108" customHeight="1">
      <c r="A8" s="280" t="s">
        <v>1959</v>
      </c>
      <c r="B8" s="280" t="s">
        <v>92</v>
      </c>
      <c r="C8" s="316" t="str">
        <f>IF(TEMPLATE_SPHERE="HEAT",D8,E8)</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D8" s="280" t="s">
        <v>1159</v>
      </c>
      <c r="E8" s="280" t="s">
        <v>1960</v>
      </c>
      <c r="F8" s="281"/>
      <c r="G8" s="281"/>
      <c r="H8" s="281"/>
    </row>
    <row r="9" spans="1:8" ht="99" customHeight="1">
      <c r="A9" s="280" t="s">
        <v>1961</v>
      </c>
      <c r="B9" s="280"/>
      <c r="C9" s="280" t="s">
        <v>1962</v>
      </c>
      <c r="D9" s="280"/>
      <c r="E9" s="280"/>
      <c r="F9" s="281"/>
      <c r="G9" s="281"/>
      <c r="H9" s="281"/>
    </row>
    <row r="10" spans="1:8" ht="126" customHeight="1">
      <c r="A10" s="280" t="s">
        <v>1963</v>
      </c>
      <c r="B10" s="280"/>
      <c r="C10" s="280" t="s">
        <v>1964</v>
      </c>
      <c r="D10" s="280"/>
      <c r="E10" s="280"/>
      <c r="F10" s="281"/>
      <c r="G10" s="281"/>
      <c r="H10" s="281"/>
    </row>
    <row r="11" spans="1:8" ht="108" customHeight="1">
      <c r="A11" s="280" t="s">
        <v>1965</v>
      </c>
      <c r="B11" s="280"/>
      <c r="C11" s="280" t="s">
        <v>1966</v>
      </c>
      <c r="D11" s="280"/>
      <c r="E11" s="280"/>
      <c r="F11" s="281"/>
      <c r="G11" s="281"/>
      <c r="H11" s="281"/>
    </row>
    <row r="12" spans="1:8" ht="54" customHeight="1">
      <c r="A12" s="280" t="s">
        <v>1967</v>
      </c>
      <c r="B12" s="280"/>
      <c r="C12" s="280" t="s">
        <v>1968</v>
      </c>
      <c r="D12" s="280"/>
      <c r="E12" s="280"/>
      <c r="F12" s="281"/>
      <c r="G12" s="281"/>
      <c r="H12" s="281"/>
    </row>
    <row r="13" spans="1:8" ht="45" customHeight="1">
      <c r="A13" s="280" t="s">
        <v>1969</v>
      </c>
      <c r="B13" s="280"/>
      <c r="C13" s="280" t="s">
        <v>1970</v>
      </c>
      <c r="D13" s="280"/>
      <c r="E13" s="280"/>
      <c r="F13" s="281"/>
      <c r="G13" s="281"/>
      <c r="H13" s="281"/>
    </row>
    <row r="14" spans="1:8" ht="117" customHeight="1">
      <c r="A14" s="280" t="s">
        <v>1971</v>
      </c>
      <c r="B14" s="280"/>
      <c r="C14" s="280" t="s">
        <v>1972</v>
      </c>
      <c r="D14" s="280"/>
      <c r="E14" s="280"/>
      <c r="F14" s="281"/>
      <c r="G14" s="281"/>
      <c r="H14" s="281"/>
    </row>
    <row r="15" spans="1:8" ht="117" customHeight="1">
      <c r="A15" s="280" t="s">
        <v>1973</v>
      </c>
      <c r="B15" s="280"/>
      <c r="C15" s="280" t="s">
        <v>1974</v>
      </c>
      <c r="D15" s="280"/>
      <c r="E15" s="280"/>
      <c r="F15" s="281"/>
      <c r="G15" s="281"/>
      <c r="H15" s="281"/>
    </row>
    <row r="16" spans="1:8" ht="63" customHeight="1">
      <c r="A16" s="280" t="s">
        <v>1975</v>
      </c>
      <c r="B16" s="280"/>
      <c r="C16" s="280" t="s">
        <v>1976</v>
      </c>
      <c r="D16" s="280"/>
      <c r="E16" s="280"/>
      <c r="F16" s="281"/>
      <c r="G16" s="281"/>
      <c r="H16" s="281"/>
    </row>
    <row r="17" spans="1:8" ht="54" customHeight="1">
      <c r="A17" s="280" t="s">
        <v>1977</v>
      </c>
      <c r="B17" s="280"/>
      <c r="C17" s="316" t="s">
        <v>1978</v>
      </c>
      <c r="D17" s="280"/>
      <c r="E17" s="280"/>
      <c r="F17" s="281"/>
      <c r="G17" s="281"/>
      <c r="H17" s="281"/>
    </row>
    <row r="18" spans="1:8" ht="27" customHeight="1">
      <c r="A18" s="280" t="s">
        <v>1979</v>
      </c>
      <c r="B18" s="280"/>
      <c r="C18" s="316" t="s">
        <v>1980</v>
      </c>
      <c r="D18" s="280"/>
      <c r="E18" s="280"/>
      <c r="F18" s="281"/>
      <c r="G18" s="281"/>
      <c r="H18" s="281"/>
    </row>
    <row r="19" spans="1:8" ht="54" customHeight="1">
      <c r="A19" s="280" t="s">
        <v>1981</v>
      </c>
      <c r="B19" s="280"/>
      <c r="C19" s="316" t="s">
        <v>1982</v>
      </c>
      <c r="D19" s="280"/>
      <c r="E19" s="280"/>
      <c r="F19" s="281"/>
      <c r="G19" s="281"/>
      <c r="H19" s="281"/>
    </row>
    <row r="20" spans="1:8" ht="36" customHeight="1">
      <c r="A20" s="280" t="s">
        <v>1983</v>
      </c>
      <c r="B20" s="280"/>
      <c r="C20" s="316" t="s">
        <v>1984</v>
      </c>
      <c r="D20" s="280"/>
      <c r="E20" s="280"/>
      <c r="F20" s="281"/>
      <c r="G20" s="281"/>
      <c r="H20" s="281"/>
    </row>
    <row r="21" spans="1:8" ht="36" customHeight="1">
      <c r="A21" s="280" t="s">
        <v>1985</v>
      </c>
      <c r="B21" s="280"/>
      <c r="C21" s="316" t="s">
        <v>1986</v>
      </c>
      <c r="D21" s="280"/>
      <c r="E21" s="280"/>
      <c r="F21" s="281"/>
      <c r="G21" s="281"/>
      <c r="H21" s="281"/>
    </row>
    <row r="22" spans="1:8" ht="27" customHeight="1">
      <c r="A22" s="280" t="s">
        <v>1987</v>
      </c>
      <c r="B22" s="280"/>
      <c r="C22" s="316" t="s">
        <v>1988</v>
      </c>
      <c r="D22" s="280"/>
      <c r="E22" s="280"/>
      <c r="F22" s="281"/>
      <c r="G22" s="281"/>
      <c r="H22" s="281"/>
    </row>
    <row r="23" spans="1:8" ht="36" customHeight="1">
      <c r="A23" s="280" t="s">
        <v>1989</v>
      </c>
      <c r="B23" s="280"/>
      <c r="C23" s="316" t="s">
        <v>1990</v>
      </c>
      <c r="D23" s="280"/>
      <c r="E23" s="280"/>
      <c r="F23" s="281"/>
      <c r="G23" s="281"/>
      <c r="H23" s="281"/>
    </row>
    <row r="24" spans="1:8" ht="28.5" customHeight="1">
      <c r="A24" s="280" t="s">
        <v>1991</v>
      </c>
      <c r="B24" s="280"/>
      <c r="C24" s="316" t="s">
        <v>1992</v>
      </c>
      <c r="D24" s="280"/>
      <c r="E24" s="280"/>
      <c r="F24" s="281"/>
      <c r="G24" s="281"/>
      <c r="H24" s="281"/>
    </row>
    <row r="25" spans="1:8" ht="36" customHeight="1">
      <c r="A25" s="280" t="s">
        <v>1993</v>
      </c>
      <c r="B25" s="280"/>
      <c r="C25" s="316" t="s">
        <v>1994</v>
      </c>
      <c r="D25" s="280"/>
      <c r="E25" s="280"/>
      <c r="F25" s="281"/>
      <c r="G25" s="281"/>
      <c r="H25" s="281"/>
    </row>
    <row r="26" spans="1:8" ht="27" customHeight="1">
      <c r="A26" s="280" t="s">
        <v>1995</v>
      </c>
      <c r="B26" s="280"/>
      <c r="C26" s="316" t="s">
        <v>1996</v>
      </c>
      <c r="D26" s="280"/>
      <c r="E26" s="280"/>
      <c r="F26" s="281"/>
      <c r="G26" s="281"/>
      <c r="H26" s="281"/>
    </row>
    <row r="27" spans="1:8" ht="36" customHeight="1">
      <c r="A27" s="280" t="s">
        <v>1997</v>
      </c>
      <c r="B27" s="280"/>
      <c r="C27" s="316" t="s">
        <v>1998</v>
      </c>
      <c r="D27" s="280"/>
      <c r="E27" s="280"/>
      <c r="F27" s="281"/>
      <c r="G27" s="281"/>
      <c r="H27" s="281"/>
    </row>
    <row r="28" spans="1:8" ht="28.5" customHeight="1">
      <c r="A28" s="280" t="s">
        <v>1999</v>
      </c>
      <c r="B28" s="280"/>
      <c r="C28" s="316" t="s">
        <v>2000</v>
      </c>
      <c r="D28" s="280"/>
      <c r="E28" s="280"/>
      <c r="F28" s="281"/>
      <c r="G28" s="281"/>
      <c r="H28" s="281"/>
    </row>
    <row r="29" spans="1:8" ht="126" customHeight="1">
      <c r="A29" s="280" t="s">
        <v>2001</v>
      </c>
      <c r="B29" s="280" t="s">
        <v>1573</v>
      </c>
      <c r="C29" s="316" t="str">
        <f>IF(TEMPLATE_SPHERE="HEAT",D29,IF(TEMPLATE_SPHERE="TKO",H29,E29))</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D29" s="280" t="s">
        <v>2002</v>
      </c>
      <c r="E29" s="281"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теплоснабжения для производства товаров (оказания услуг) в сфере теплоснабжения, тарифы на которые подлежат регулированию</v>
      </c>
      <c r="F29" s="281"/>
      <c r="G29" s="281"/>
      <c r="H29" s="280" t="s">
        <v>2003</v>
      </c>
    </row>
    <row r="30" spans="1:8" ht="36" customHeight="1">
      <c r="A30" s="280" t="s">
        <v>2004</v>
      </c>
      <c r="B30" s="280"/>
      <c r="C30" s="316" t="str">
        <f>IF(TEMPLATE_SPHERE="HEAT",D30,IF(TEMPLATE_SPHERE="TKO",H30,E30))</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D30" s="280" t="s">
        <v>2005</v>
      </c>
      <c r="E30" s="281"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теплоснабжения</v>
      </c>
      <c r="F30" s="281"/>
      <c r="G30" s="281"/>
      <c r="H30" s="281"/>
    </row>
    <row r="31" spans="1:8" ht="54" customHeight="1">
      <c r="A31" s="280" t="s">
        <v>2006</v>
      </c>
      <c r="B31" s="280"/>
      <c r="C31" s="316" t="str">
        <f>IF(TEMPLATE_SPHERE="HEAT",D31,IF(TEMPLATE_SPHERE="TKO",H31,E31))</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D31" s="280" t="s">
        <v>2007</v>
      </c>
      <c r="E31" s="281"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31" s="281"/>
      <c r="G31" s="281"/>
      <c r="H31" s="281"/>
    </row>
    <row r="32" spans="1:8" ht="198" customHeight="1">
      <c r="A32" s="280" t="s">
        <v>2008</v>
      </c>
      <c r="B32" s="280"/>
      <c r="C32" s="316" t="str">
        <f>IF(TEMPLATE_SPHERE="HEAT",D32,IF(TEMPLATE_SPHERE="TKO",H32,E32))</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D32" s="280" t="s">
        <v>2009</v>
      </c>
      <c r="E32" s="281"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теплоснабжения и отчетах об их исполнении</v>
      </c>
      <c r="F32" s="281"/>
      <c r="G32" s="281"/>
      <c r="H32" s="280" t="s">
        <v>2010</v>
      </c>
    </row>
    <row r="33" spans="1:8" ht="9" customHeight="1">
      <c r="A33" s="280"/>
      <c r="B33" s="280"/>
      <c r="C33" s="316"/>
      <c r="D33" s="280"/>
      <c r="E33" s="280"/>
      <c r="F33" s="281"/>
      <c r="G33" s="281"/>
      <c r="H33" s="281"/>
    </row>
    <row r="34" spans="1:8" ht="9" customHeight="1">
      <c r="A34" s="280"/>
      <c r="B34" s="280" t="s">
        <v>1509</v>
      </c>
      <c r="C34" s="316">
        <f>INDEX(TEMPLATE_NAME_FORM_LIST,B34,MATCH(TEMPLATE_SPHERE,TEMPLATE_SPHERE_LIST,0))</f>
        <v>0</v>
      </c>
      <c r="D34" s="280"/>
      <c r="E34" s="280"/>
      <c r="F34" s="281"/>
      <c r="G34" s="281"/>
      <c r="H34" s="281"/>
    </row>
  </sheetData>
  <sheetProtection insertRows="0" deleteColumns="0" deleteRows="0" sort="0" autoFilter="0"/>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41691E-B02C-771E-1C6F-234FCA93CA5B}">
  <sheetPr>
    <tabColor rgb="FFFFCC99"/>
  </sheetPr>
  <dimension ref="A1:AH154"/>
  <sheetViews>
    <sheetView showGridLines="0" workbookViewId="0"/>
  </sheetViews>
  <sheetFormatPr defaultColWidth="9.140625" defaultRowHeight="9" customHeight="1"/>
  <cols>
    <col min="1" max="2" width="9.140625" style="278"/>
    <col min="3" max="7" width="8" style="278" customWidth="1"/>
    <col min="8" max="12" width="8.5703125" style="278" customWidth="1"/>
    <col min="13" max="14" width="27.7109375" style="278" customWidth="1"/>
    <col min="15" max="19" width="5.140625" style="278" customWidth="1"/>
    <col min="20" max="24" width="27.7109375" style="278" customWidth="1"/>
    <col min="25" max="25" width="1.85546875" style="336" customWidth="1"/>
    <col min="26" max="26" width="27.7109375" style="278" customWidth="1"/>
    <col min="27" max="27" width="27.7109375" style="286" customWidth="1"/>
    <col min="28" max="29" width="27.7109375" style="278" customWidth="1"/>
    <col min="30" max="30" width="3.85546875" style="278" customWidth="1"/>
    <col min="31" max="34" width="9.140625" style="278"/>
  </cols>
  <sheetData>
    <row r="1" spans="1:34" s="278" customFormat="1" ht="18" customHeight="1">
      <c r="A1" s="280"/>
      <c r="B1" s="280"/>
      <c r="C1" s="280" t="s">
        <v>2011</v>
      </c>
      <c r="D1" s="280"/>
      <c r="E1" s="280"/>
      <c r="F1" s="280"/>
      <c r="G1" s="280"/>
      <c r="H1" s="280" t="s">
        <v>2012</v>
      </c>
      <c r="I1" s="280"/>
      <c r="J1" s="280"/>
      <c r="K1" s="280"/>
      <c r="L1" s="280"/>
      <c r="M1" s="280" t="s">
        <v>2013</v>
      </c>
      <c r="N1" s="280" t="s">
        <v>2014</v>
      </c>
      <c r="O1" s="883" t="s">
        <v>2015</v>
      </c>
      <c r="P1" s="883"/>
      <c r="Q1" s="883"/>
      <c r="R1" s="883"/>
      <c r="S1" s="883"/>
      <c r="T1" s="883" t="s">
        <v>2013</v>
      </c>
      <c r="U1" s="883"/>
      <c r="V1" s="883"/>
      <c r="W1" s="883"/>
      <c r="X1" s="883"/>
      <c r="Y1" s="335"/>
      <c r="Z1" s="883" t="s">
        <v>2016</v>
      </c>
      <c r="AA1" s="883"/>
      <c r="AB1" s="883"/>
      <c r="AC1" s="883"/>
      <c r="AD1" s="883"/>
    </row>
    <row r="2" spans="1:34" ht="18" customHeight="1">
      <c r="A2" s="280"/>
      <c r="B2" s="280"/>
      <c r="C2" s="279" t="s">
        <v>811</v>
      </c>
      <c r="D2" s="279" t="s">
        <v>857</v>
      </c>
      <c r="E2" s="279" t="s">
        <v>910</v>
      </c>
      <c r="F2" s="279" t="s">
        <v>897</v>
      </c>
      <c r="G2" s="279" t="s">
        <v>1622</v>
      </c>
      <c r="H2" s="280"/>
      <c r="I2" s="280"/>
      <c r="J2" s="280"/>
      <c r="K2" s="280"/>
      <c r="L2" s="280"/>
      <c r="M2" s="280"/>
      <c r="N2" s="280"/>
      <c r="O2" s="279" t="s">
        <v>811</v>
      </c>
      <c r="P2" s="279" t="s">
        <v>857</v>
      </c>
      <c r="Q2" s="279" t="s">
        <v>897</v>
      </c>
      <c r="R2" s="279" t="s">
        <v>910</v>
      </c>
      <c r="S2" s="279" t="s">
        <v>1622</v>
      </c>
      <c r="T2" s="279" t="s">
        <v>811</v>
      </c>
      <c r="U2" s="279" t="s">
        <v>857</v>
      </c>
      <c r="V2" s="279" t="s">
        <v>897</v>
      </c>
      <c r="W2" s="279" t="s">
        <v>910</v>
      </c>
      <c r="X2" s="279" t="s">
        <v>1622</v>
      </c>
      <c r="Y2" s="279"/>
      <c r="Z2" s="279" t="s">
        <v>811</v>
      </c>
      <c r="AA2" s="285" t="s">
        <v>857</v>
      </c>
      <c r="AB2" s="279" t="s">
        <v>897</v>
      </c>
      <c r="AC2" s="279" t="s">
        <v>910</v>
      </c>
      <c r="AD2" s="279" t="s">
        <v>1622</v>
      </c>
    </row>
    <row r="3" spans="1:34" ht="162" customHeight="1">
      <c r="A3" s="282" t="s">
        <v>27</v>
      </c>
      <c r="B3" s="282"/>
      <c r="C3" s="887" t="s">
        <v>2017</v>
      </c>
      <c r="D3" s="888"/>
      <c r="E3" s="888"/>
      <c r="F3" s="889"/>
      <c r="G3" s="280"/>
      <c r="H3" s="280"/>
      <c r="I3" s="280"/>
      <c r="J3" s="280"/>
      <c r="K3" s="280"/>
      <c r="L3" s="280"/>
      <c r="M3" s="280"/>
      <c r="N3" s="281" t="str">
        <f>INDEX(TEMPLATE_ORG_DATA_POINT,1,MATCH(TEMPLATE_SPHERE,TEMPLATE_SPHERE_LIST_FOR_NOTE,0))</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O3" s="280"/>
      <c r="P3" s="280"/>
      <c r="Q3" s="280"/>
      <c r="R3" s="280"/>
      <c r="S3" s="280"/>
      <c r="T3" s="280"/>
      <c r="U3" s="280"/>
      <c r="V3" s="280"/>
      <c r="W3" s="280"/>
      <c r="X3" s="280"/>
      <c r="Y3" s="335"/>
      <c r="Z3" s="280" t="s">
        <v>2018</v>
      </c>
      <c r="AA3" s="280" t="s">
        <v>2019</v>
      </c>
      <c r="AB3" s="280" t="s">
        <v>2020</v>
      </c>
      <c r="AC3" s="280" t="s">
        <v>2021</v>
      </c>
      <c r="AD3" s="280"/>
      <c r="AG3" s="280"/>
      <c r="AH3" s="280"/>
    </row>
    <row r="4" spans="1:34" ht="9" customHeight="1">
      <c r="A4" s="282"/>
      <c r="B4" s="282"/>
      <c r="C4" s="280"/>
      <c r="D4" s="280"/>
      <c r="E4" s="280"/>
      <c r="F4" s="280"/>
      <c r="G4" s="280"/>
      <c r="H4" s="280"/>
      <c r="I4" s="280"/>
      <c r="J4" s="280"/>
      <c r="K4" s="280"/>
      <c r="L4" s="280"/>
      <c r="M4" s="280"/>
      <c r="N4" s="280"/>
      <c r="O4" s="280"/>
      <c r="P4" s="280"/>
      <c r="Q4" s="280"/>
      <c r="R4" s="280"/>
      <c r="S4" s="280"/>
      <c r="T4" s="280"/>
      <c r="U4" s="280"/>
      <c r="V4" s="280"/>
      <c r="W4" s="280"/>
      <c r="X4" s="280"/>
      <c r="Y4" s="335"/>
      <c r="Z4" s="280"/>
      <c r="AA4" s="281"/>
      <c r="AB4" s="280"/>
      <c r="AC4" s="280"/>
      <c r="AD4" s="280"/>
    </row>
    <row r="5" spans="1:34" ht="9" customHeight="1">
      <c r="A5" s="282"/>
      <c r="B5" s="282"/>
      <c r="C5" s="280"/>
      <c r="D5" s="280"/>
      <c r="E5" s="280"/>
      <c r="F5" s="280"/>
      <c r="G5" s="280"/>
      <c r="H5" s="280"/>
      <c r="I5" s="280"/>
      <c r="J5" s="280"/>
      <c r="K5" s="280"/>
      <c r="L5" s="280"/>
      <c r="M5" s="280"/>
      <c r="N5" s="280"/>
      <c r="O5" s="280"/>
      <c r="P5" s="280"/>
      <c r="Q5" s="280"/>
      <c r="R5" s="280"/>
      <c r="S5" s="280"/>
      <c r="T5" s="280"/>
      <c r="U5" s="280"/>
      <c r="V5" s="280"/>
      <c r="W5" s="280"/>
      <c r="X5" s="280"/>
      <c r="Y5" s="335"/>
      <c r="Z5" s="280"/>
      <c r="AA5" s="281"/>
      <c r="AB5" s="280"/>
      <c r="AC5" s="280"/>
      <c r="AD5" s="280"/>
    </row>
    <row r="6" spans="1:34" ht="9" customHeight="1">
      <c r="A6" s="282"/>
      <c r="B6" s="282"/>
      <c r="C6" s="280"/>
      <c r="D6" s="280"/>
      <c r="E6" s="280"/>
      <c r="F6" s="280"/>
      <c r="G6" s="280"/>
      <c r="H6" s="280"/>
      <c r="I6" s="280"/>
      <c r="J6" s="280"/>
      <c r="K6" s="280"/>
      <c r="L6" s="280"/>
      <c r="M6" s="280"/>
      <c r="N6" s="280"/>
      <c r="O6" s="280"/>
      <c r="P6" s="280"/>
      <c r="Q6" s="280"/>
      <c r="R6" s="280"/>
      <c r="S6" s="280"/>
      <c r="T6" s="280"/>
      <c r="U6" s="280"/>
      <c r="V6" s="280"/>
      <c r="W6" s="280"/>
      <c r="X6" s="280"/>
      <c r="Y6" s="335"/>
      <c r="Z6" s="280"/>
      <c r="AA6" s="281"/>
      <c r="AB6" s="280"/>
      <c r="AC6" s="280"/>
      <c r="AD6" s="280"/>
    </row>
    <row r="7" spans="1:34" ht="9" customHeight="1">
      <c r="A7" s="282"/>
      <c r="B7" s="282"/>
      <c r="C7" s="280"/>
      <c r="D7" s="280"/>
      <c r="E7" s="280"/>
      <c r="F7" s="280"/>
      <c r="G7" s="280"/>
      <c r="H7" s="280"/>
      <c r="I7" s="280"/>
      <c r="J7" s="280"/>
      <c r="K7" s="280"/>
      <c r="L7" s="280"/>
      <c r="M7" s="280"/>
      <c r="N7" s="280"/>
      <c r="O7" s="280"/>
      <c r="P7" s="280"/>
      <c r="Q7" s="280"/>
      <c r="R7" s="280"/>
      <c r="S7" s="280"/>
      <c r="T7" s="280"/>
      <c r="U7" s="280"/>
      <c r="V7" s="280"/>
      <c r="W7" s="280"/>
      <c r="X7" s="280"/>
      <c r="Y7" s="335"/>
      <c r="Z7" s="280"/>
      <c r="AA7" s="281"/>
      <c r="AB7" s="280"/>
      <c r="AC7" s="280"/>
      <c r="AD7" s="280"/>
    </row>
    <row r="8" spans="1:34" ht="9" customHeight="1">
      <c r="A8" s="282"/>
      <c r="B8" s="282"/>
      <c r="C8" s="280"/>
      <c r="D8" s="280"/>
      <c r="E8" s="280"/>
      <c r="F8" s="280"/>
      <c r="G8" s="280"/>
      <c r="H8" s="280"/>
      <c r="I8" s="280"/>
      <c r="J8" s="280"/>
      <c r="K8" s="280"/>
      <c r="L8" s="280"/>
      <c r="M8" s="280"/>
      <c r="N8" s="280"/>
      <c r="O8" s="280"/>
      <c r="P8" s="280"/>
      <c r="Q8" s="280"/>
      <c r="R8" s="280"/>
      <c r="S8" s="280"/>
      <c r="T8" s="280"/>
      <c r="U8" s="280"/>
      <c r="V8" s="280"/>
      <c r="W8" s="280"/>
      <c r="X8" s="280"/>
      <c r="Y8" s="335"/>
      <c r="Z8" s="280"/>
      <c r="AA8" s="281"/>
      <c r="AB8" s="280"/>
      <c r="AC8" s="280"/>
      <c r="AD8" s="280"/>
    </row>
    <row r="9" spans="1:34" ht="9" customHeight="1">
      <c r="A9" s="282"/>
      <c r="B9" s="282"/>
      <c r="C9" s="280"/>
      <c r="D9" s="280"/>
      <c r="E9" s="280"/>
      <c r="F9" s="280"/>
      <c r="G9" s="280"/>
      <c r="H9" s="280"/>
      <c r="I9" s="280"/>
      <c r="J9" s="280"/>
      <c r="K9" s="280"/>
      <c r="L9" s="280"/>
      <c r="M9" s="280"/>
      <c r="N9" s="280"/>
      <c r="O9" s="280"/>
      <c r="P9" s="280"/>
      <c r="Q9" s="280"/>
      <c r="R9" s="280"/>
      <c r="S9" s="280"/>
      <c r="T9" s="280"/>
      <c r="U9" s="280"/>
      <c r="V9" s="280"/>
      <c r="W9" s="280"/>
      <c r="X9" s="280"/>
      <c r="Y9" s="335"/>
      <c r="Z9" s="280"/>
      <c r="AA9" s="281"/>
      <c r="AB9" s="280"/>
      <c r="AC9" s="280"/>
      <c r="AD9" s="280"/>
    </row>
    <row r="10" spans="1:34" ht="9" customHeight="1">
      <c r="A10" s="282"/>
      <c r="B10" s="282"/>
      <c r="C10" s="282"/>
      <c r="D10" s="282"/>
      <c r="E10" s="282"/>
      <c r="F10" s="282"/>
      <c r="G10" s="282"/>
      <c r="H10" s="282"/>
      <c r="I10" s="282"/>
      <c r="J10" s="282"/>
      <c r="K10" s="282"/>
      <c r="L10" s="282"/>
      <c r="M10" s="282"/>
      <c r="N10" s="282"/>
      <c r="O10" s="282"/>
      <c r="P10" s="282"/>
      <c r="Q10" s="282"/>
      <c r="R10" s="282"/>
      <c r="S10" s="282"/>
      <c r="T10" s="282"/>
      <c r="U10" s="282"/>
      <c r="V10" s="282"/>
      <c r="W10" s="282"/>
      <c r="X10" s="282"/>
      <c r="Y10" s="282"/>
      <c r="Z10" s="282"/>
      <c r="AA10" s="282"/>
      <c r="AB10" s="282"/>
      <c r="AC10" s="282"/>
      <c r="AD10" s="282"/>
    </row>
    <row r="11" spans="1:34" ht="45" customHeight="1">
      <c r="A11" s="884" t="s">
        <v>33</v>
      </c>
      <c r="B11" s="282">
        <v>1</v>
      </c>
      <c r="C11" s="890" t="s">
        <v>1560</v>
      </c>
      <c r="D11" s="890" t="s">
        <v>1556</v>
      </c>
      <c r="E11" s="890" t="s">
        <v>1654</v>
      </c>
      <c r="F11" s="890" t="s">
        <v>2022</v>
      </c>
      <c r="G11" s="890"/>
      <c r="H11" s="280" t="s">
        <v>2023</v>
      </c>
      <c r="I11" s="280"/>
      <c r="J11" s="280"/>
      <c r="K11" s="280"/>
      <c r="L11" s="280"/>
      <c r="M11" s="281" t="str">
        <f>IF(TEMPLATE_SPHERE="HEAT",T11,U11)</f>
        <v>Количество поданных заявок</v>
      </c>
      <c r="N11" s="281" t="str">
        <f t="shared" ref="N11:N16" si="0">IF(TEMPLATE_SPHERE="HEAT",Z11,AA11)</f>
        <v>Указывается количество поданных заявок на подключение (технологическое присоединение) к системе теплоснабжения в течение отчетного квартала.</v>
      </c>
      <c r="O11" s="280"/>
      <c r="P11" s="280"/>
      <c r="Q11" s="280"/>
      <c r="R11" s="280"/>
      <c r="S11" s="280"/>
      <c r="T11" s="280" t="s">
        <v>2024</v>
      </c>
      <c r="U11" s="280" t="s">
        <v>2025</v>
      </c>
      <c r="V11" s="280"/>
      <c r="W11" s="280"/>
      <c r="X11" s="280"/>
      <c r="Y11" s="335"/>
      <c r="Z11" s="280" t="s">
        <v>2026</v>
      </c>
      <c r="AA11" s="281"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1" s="280"/>
      <c r="AC11" s="280"/>
      <c r="AD11" s="280"/>
    </row>
    <row r="12" spans="1:34" ht="45" customHeight="1">
      <c r="A12" s="884"/>
      <c r="B12" s="282">
        <v>2</v>
      </c>
      <c r="C12" s="891"/>
      <c r="D12" s="891"/>
      <c r="E12" s="891"/>
      <c r="F12" s="891"/>
      <c r="G12" s="891"/>
      <c r="H12" s="280" t="s">
        <v>2027</v>
      </c>
      <c r="I12" s="280"/>
      <c r="J12" s="280"/>
      <c r="K12" s="280"/>
      <c r="L12" s="280"/>
      <c r="M12" s="281" t="str">
        <f>IF(TEMPLATE_SPHERE="HEAT",T12,U12)</f>
        <v>Количество рассмотренных заявок</v>
      </c>
      <c r="N12" s="281" t="str">
        <f t="shared" si="0"/>
        <v>Указывается количество исполненных заявок на подключение (технологическое присоединение) к системе теплоснабжения в течение отчетного квартала.</v>
      </c>
      <c r="O12" s="280"/>
      <c r="P12" s="280"/>
      <c r="Q12" s="280"/>
      <c r="R12" s="280"/>
      <c r="S12" s="280"/>
      <c r="T12" s="280" t="s">
        <v>2028</v>
      </c>
      <c r="U12" s="280" t="s">
        <v>2029</v>
      </c>
      <c r="V12" s="280"/>
      <c r="W12" s="280"/>
      <c r="X12" s="280"/>
      <c r="Y12" s="335"/>
      <c r="Z12" s="280" t="s">
        <v>2030</v>
      </c>
      <c r="AA12" s="281"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2" s="280"/>
      <c r="AC12" s="280"/>
      <c r="AD12" s="280"/>
    </row>
    <row r="13" spans="1:34" ht="72" customHeight="1">
      <c r="A13" s="884"/>
      <c r="B13" s="282">
        <v>3</v>
      </c>
      <c r="C13" s="891"/>
      <c r="D13" s="891"/>
      <c r="E13" s="891"/>
      <c r="F13" s="891"/>
      <c r="G13" s="891"/>
      <c r="H13" s="883" t="s">
        <v>2031</v>
      </c>
      <c r="I13" s="280"/>
      <c r="J13" s="280"/>
      <c r="K13" s="280"/>
      <c r="L13" s="280"/>
      <c r="M13" s="281" t="str">
        <f>IF(TEMPLATE_SPHERE="HEAT",T13,U13)</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N13" s="281" t="str">
        <f t="shared" si="0"/>
        <v>Указывается количество заявок с решением об отказе в течение отчетного квартала.</v>
      </c>
      <c r="O13" s="280"/>
      <c r="P13" s="281"/>
      <c r="Q13" s="281"/>
      <c r="R13" s="281"/>
      <c r="S13" s="280"/>
      <c r="T13" s="280" t="s">
        <v>2032</v>
      </c>
      <c r="U13" s="281" t="s">
        <v>2033</v>
      </c>
      <c r="V13" s="281"/>
      <c r="W13" s="281"/>
      <c r="X13" s="280"/>
      <c r="Y13" s="335"/>
      <c r="Z13" s="280" t="s">
        <v>2034</v>
      </c>
      <c r="AA13" s="281"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теплоснабжения, по которым организацией теплоснабжения отказано в заключении договора о подключении (технологическом присоединении) к централизованной системе теплоснабжения с указанием причин, в течение одного квартала.</v>
      </c>
      <c r="AB13" s="280"/>
      <c r="AC13" s="280"/>
      <c r="AD13" s="280"/>
    </row>
    <row r="14" spans="1:34" ht="45" customHeight="1">
      <c r="A14" s="884"/>
      <c r="B14" s="282">
        <v>4</v>
      </c>
      <c r="C14" s="891"/>
      <c r="D14" s="891"/>
      <c r="E14" s="891"/>
      <c r="F14" s="891"/>
      <c r="G14" s="891"/>
      <c r="H14" s="883"/>
      <c r="I14" s="303"/>
      <c r="J14" s="303"/>
      <c r="K14" s="303"/>
      <c r="L14" s="303"/>
      <c r="M14" s="283" t="str">
        <f>IF(TEMPLATE_SPHERE="HEAT",T14,U14)</f>
        <v>Причины отказа в заключении договора о подключении (технологическом присоединении) к системе теплоснабжения</v>
      </c>
      <c r="N14" s="281" t="str">
        <f t="shared" si="0"/>
        <v>Указывается текстовое описание причин принятия решений._x000D_
Не заполняется в случае, если решения об отказе в течение отчетного периода не принимались.</v>
      </c>
      <c r="O14" s="280"/>
      <c r="P14" s="281"/>
      <c r="Q14" s="281"/>
      <c r="R14" s="281"/>
      <c r="S14" s="280"/>
      <c r="T14" s="280" t="s">
        <v>2035</v>
      </c>
      <c r="U14" s="281"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теплоснабжения</v>
      </c>
      <c r="V14" s="281"/>
      <c r="W14" s="281"/>
      <c r="X14" s="280"/>
      <c r="Y14" s="335"/>
      <c r="Z14" s="280" t="s">
        <v>2036</v>
      </c>
      <c r="AA14" s="281" t="s">
        <v>2036</v>
      </c>
      <c r="AB14" s="280"/>
      <c r="AC14" s="280"/>
      <c r="AD14" s="280"/>
    </row>
    <row r="15" spans="1:34" ht="108" customHeight="1">
      <c r="A15" s="884"/>
      <c r="B15" s="282">
        <v>5</v>
      </c>
      <c r="C15" s="891"/>
      <c r="D15" s="891"/>
      <c r="E15" s="891"/>
      <c r="F15" s="891"/>
      <c r="G15" s="891"/>
      <c r="H15" s="885" t="s">
        <v>2037</v>
      </c>
      <c r="I15" s="302"/>
      <c r="J15" s="302"/>
      <c r="K15" s="302"/>
      <c r="L15" s="302"/>
      <c r="M15" s="281" t="str">
        <f>IF(TEMPLATE_SPHERE="HEAT",T15,U15)</f>
        <v>Резерв мощности источников тепловой энергии, входящих в систему теплоснабжения, в течение одного квартала, в том числе:</v>
      </c>
      <c r="N15" s="284" t="str">
        <f t="shared" si="0"/>
        <v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5" s="280"/>
      <c r="P15" s="281"/>
      <c r="Q15" s="281"/>
      <c r="R15" s="281"/>
      <c r="S15" s="280"/>
      <c r="T15" s="280" t="s">
        <v>2038</v>
      </c>
      <c r="U15" s="281"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теплоснабжения в течение одного квартала, в том числе:</v>
      </c>
      <c r="V15" s="281"/>
      <c r="W15" s="281"/>
      <c r="X15" s="280"/>
      <c r="Y15" s="335"/>
      <c r="Z15" s="280" t="s">
        <v>2039</v>
      </c>
      <c r="AA15" s="281"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теплоснабжения (совокупности централизованных систем теплоснабжения) в случае, если для них установлены одинаковые тарифы в сфере теплоснабжения.
В случае если регулируемыми организациями оказываются услуги теплоснабжения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AB15" s="280"/>
      <c r="AC15" s="280"/>
      <c r="AD15" s="280"/>
    </row>
    <row r="16" spans="1:34" ht="108" customHeight="1">
      <c r="A16" s="282"/>
      <c r="B16" s="282">
        <v>6</v>
      </c>
      <c r="C16" s="892"/>
      <c r="D16" s="892"/>
      <c r="E16" s="892"/>
      <c r="F16" s="892"/>
      <c r="G16" s="892"/>
      <c r="H16" s="886"/>
      <c r="I16" s="320"/>
      <c r="J16" s="320"/>
      <c r="K16" s="320"/>
      <c r="L16" s="320"/>
      <c r="M16" s="283"/>
      <c r="N16" s="284" t="str">
        <f t="shared" si="0"/>
        <v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6" s="280"/>
      <c r="P16" s="281"/>
      <c r="Q16" s="281"/>
      <c r="R16" s="281"/>
      <c r="S16" s="280"/>
      <c r="T16" s="280"/>
      <c r="U16" s="281"/>
      <c r="V16" s="281"/>
      <c r="W16" s="281"/>
      <c r="X16" s="280"/>
      <c r="Y16" s="335"/>
      <c r="Z16" s="280" t="s">
        <v>2039</v>
      </c>
      <c r="AA16" s="281"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теплоснабжения, тариф для которой не является отличным от тарифов других централизованных систем теплоснабжения регулируемой организации.
При использовании регулируемой организацией нескольких централизованных систем теплоснабжения информация о наличии свободной мощности (резерве мощности) на соответствующих объектах централизованных систем теплоснабжения публикуется в отношении каждой централизованной системы теплоснабжения в отдельных строках.</v>
      </c>
      <c r="AB16" s="280"/>
      <c r="AC16" s="280"/>
      <c r="AD16" s="280"/>
    </row>
    <row r="17" spans="1:30" ht="9" customHeight="1">
      <c r="A17" s="282"/>
      <c r="B17" s="282"/>
      <c r="C17" s="282">
        <v>22</v>
      </c>
      <c r="D17" s="282">
        <v>21</v>
      </c>
      <c r="E17" s="282">
        <v>42</v>
      </c>
      <c r="F17" s="282">
        <v>63</v>
      </c>
      <c r="G17" s="282"/>
      <c r="H17" s="282"/>
      <c r="I17" s="282"/>
      <c r="J17" s="282"/>
      <c r="K17" s="282"/>
      <c r="L17" s="282"/>
      <c r="M17" s="282"/>
      <c r="N17" s="282"/>
      <c r="O17" s="282"/>
      <c r="P17" s="282"/>
      <c r="Q17" s="282"/>
      <c r="R17" s="282"/>
      <c r="S17" s="282"/>
      <c r="T17" s="282"/>
      <c r="U17" s="282"/>
      <c r="V17" s="282"/>
      <c r="W17" s="282"/>
      <c r="X17" s="282"/>
      <c r="Y17" s="282"/>
      <c r="Z17" s="282"/>
      <c r="AA17" s="282"/>
      <c r="AB17" s="282"/>
      <c r="AC17" s="282"/>
      <c r="AD17" s="282"/>
    </row>
    <row r="18" spans="1:30" ht="27" customHeight="1">
      <c r="A18" s="282" t="s">
        <v>1657</v>
      </c>
      <c r="B18" s="282">
        <v>1</v>
      </c>
      <c r="C18" s="280" t="s">
        <v>2023</v>
      </c>
      <c r="D18" s="315" t="s">
        <v>2023</v>
      </c>
      <c r="E18" s="280" t="s">
        <v>2023</v>
      </c>
      <c r="F18" s="280" t="s">
        <v>2023</v>
      </c>
      <c r="G18" s="280"/>
      <c r="H18" s="337"/>
      <c r="I18" s="337">
        <f t="shared" ref="I18:I49" si="1">INDEX(TEMPLATE_NUMBER_POINT_FHD,B18,MATCH(TEMPLATE_SPHERE,TEMPLATE_SPHERE_LIST_FOR_NOTE,0))</f>
        <v>1</v>
      </c>
      <c r="J18" s="337" t="str">
        <f t="shared" ref="J18:J49" si="2">INDEX(TEMPLATE_DATA_POINT_FHD,B18,MATCH(TEMPLATE_SPHERE,TEMPLATE_SPHERE_LIST_FOR_NOTE,0))</f>
        <v>Выручка от регулируемого вида деятельности с распределением по видам деятельности</v>
      </c>
      <c r="K18" s="337" t="str">
        <f t="shared" ref="K18:K49" si="3">INDEX(TEMPLATE_NOTE_POINT_FHD,B18,MATCH(TEMPLATE_SPHERE,TEMPLATE_SPHERE_LIST_FOR_NOTE,0))</f>
        <v>Указывается выручка от регулируемого вида деятельности с распределением по видам деятельности.</v>
      </c>
      <c r="L18" s="281">
        <f t="shared" ref="L18:L49" si="4">IF(I18=0,"",I18)</f>
        <v>1</v>
      </c>
      <c r="M18" s="281" t="str">
        <f t="shared" ref="M18:M49" si="5">IF(J18=0,"",J18)</f>
        <v>Выручка от регулируемого вида деятельности с распределением по видам деятельности</v>
      </c>
      <c r="N18" s="281" t="str">
        <f t="shared" ref="N18:N49" si="6">IF(K18=0,"",K18)</f>
        <v>Указывается выручка от регулируемого вида деятельности с распределением по видам деятельности.</v>
      </c>
      <c r="O18" s="315">
        <v>1</v>
      </c>
      <c r="P18" s="315">
        <v>1</v>
      </c>
      <c r="Q18" s="315">
        <v>1</v>
      </c>
      <c r="R18" s="315">
        <v>1</v>
      </c>
      <c r="S18" s="315"/>
      <c r="T18" s="316" t="s">
        <v>2040</v>
      </c>
      <c r="U18" s="280" t="s">
        <v>2041</v>
      </c>
      <c r="V18" s="280" t="s">
        <v>2042</v>
      </c>
      <c r="W18" s="280" t="s">
        <v>2043</v>
      </c>
      <c r="X18" s="280"/>
      <c r="Y18" s="335"/>
      <c r="Z18" s="280" t="s">
        <v>2044</v>
      </c>
      <c r="AA18" s="281" t="s">
        <v>2045</v>
      </c>
      <c r="AB18" s="281" t="s">
        <v>2045</v>
      </c>
      <c r="AC18" s="281" t="s">
        <v>2045</v>
      </c>
      <c r="AD18" s="280"/>
    </row>
    <row r="19" spans="1:30" ht="36" customHeight="1">
      <c r="A19" s="282"/>
      <c r="B19" s="282">
        <v>2</v>
      </c>
      <c r="C19" s="280" t="s">
        <v>2027</v>
      </c>
      <c r="D19" s="315" t="s">
        <v>2027</v>
      </c>
      <c r="E19" s="280" t="s">
        <v>2027</v>
      </c>
      <c r="F19" s="280" t="s">
        <v>2027</v>
      </c>
      <c r="G19" s="280"/>
      <c r="H19" s="337"/>
      <c r="I19" s="337">
        <f t="shared" si="1"/>
        <v>2</v>
      </c>
      <c r="J19" s="337" t="str">
        <f t="shared" si="2"/>
        <v>Себестоимость производимых товаров (оказываемых услуг) по регулируемому виду деятельности, включая:</v>
      </c>
      <c r="K19" s="337" t="str">
        <f t="shared" si="3"/>
        <v>Указывается суммарная себестоимость производимых товаров.</v>
      </c>
      <c r="L19" s="281">
        <f t="shared" si="4"/>
        <v>2</v>
      </c>
      <c r="M19" s="281" t="str">
        <f t="shared" si="5"/>
        <v>Себестоимость производимых товаров (оказываемых услуг) по регулируемому виду деятельности, включая:</v>
      </c>
      <c r="N19" s="281" t="str">
        <f t="shared" si="6"/>
        <v>Указывается суммарная себестоимость производимых товаров.</v>
      </c>
      <c r="O19" s="315">
        <v>2</v>
      </c>
      <c r="P19" s="315">
        <v>2</v>
      </c>
      <c r="Q19" s="315">
        <v>2</v>
      </c>
      <c r="R19" s="315">
        <v>2</v>
      </c>
      <c r="S19" s="315"/>
      <c r="T19" s="316" t="s">
        <v>2046</v>
      </c>
      <c r="U19" s="280" t="s">
        <v>2047</v>
      </c>
      <c r="V19" s="280" t="s">
        <v>2048</v>
      </c>
      <c r="W19" s="280" t="s">
        <v>2049</v>
      </c>
      <c r="X19" s="280"/>
      <c r="Y19" s="335"/>
      <c r="Z19" s="280" t="s">
        <v>2050</v>
      </c>
      <c r="AA19" s="281" t="s">
        <v>2050</v>
      </c>
      <c r="AB19" s="281" t="s">
        <v>2050</v>
      </c>
      <c r="AC19" s="281" t="s">
        <v>2050</v>
      </c>
      <c r="AD19" s="280"/>
    </row>
    <row r="20" spans="1:30" ht="27" customHeight="1">
      <c r="A20" s="282"/>
      <c r="B20" s="282">
        <v>3</v>
      </c>
      <c r="C20" s="280">
        <v>1</v>
      </c>
      <c r="D20" s="315"/>
      <c r="E20" s="280"/>
      <c r="F20" s="280"/>
      <c r="G20" s="280"/>
      <c r="H20" s="337"/>
      <c r="I20" s="337" t="str">
        <f t="shared" si="1"/>
        <v>2.1</v>
      </c>
      <c r="J20" s="337" t="str">
        <f t="shared" si="2"/>
        <v>Расходы на приобретаемую тепловую энергию (мощность), теплоноситель</v>
      </c>
      <c r="K20" s="337">
        <f t="shared" si="3"/>
        <v>0</v>
      </c>
      <c r="L20" s="281" t="str">
        <f t="shared" si="4"/>
        <v>2.1</v>
      </c>
      <c r="M20" s="281" t="str">
        <f t="shared" si="5"/>
        <v>Расходы на приобретаемую тепловую энергию (мощность), теплоноситель</v>
      </c>
      <c r="N20" s="281" t="str">
        <f t="shared" si="6"/>
        <v/>
      </c>
      <c r="O20" s="315" t="s">
        <v>712</v>
      </c>
      <c r="P20" s="315" t="s">
        <v>712</v>
      </c>
      <c r="Q20" s="315" t="s">
        <v>712</v>
      </c>
      <c r="R20" s="315" t="s">
        <v>712</v>
      </c>
      <c r="S20" s="315"/>
      <c r="T20" s="316" t="s">
        <v>2051</v>
      </c>
      <c r="U20" s="280" t="s">
        <v>2052</v>
      </c>
      <c r="V20" s="280" t="s">
        <v>2053</v>
      </c>
      <c r="W20" s="280" t="s">
        <v>2054</v>
      </c>
      <c r="X20" s="280"/>
      <c r="Y20" s="335"/>
      <c r="Z20" s="280"/>
      <c r="AA20" s="281"/>
      <c r="AB20" s="280"/>
      <c r="AC20" s="280"/>
      <c r="AD20" s="280"/>
    </row>
    <row r="21" spans="1:30" ht="36" customHeight="1">
      <c r="A21" s="282"/>
      <c r="B21" s="282">
        <v>4</v>
      </c>
      <c r="C21" s="280">
        <v>2</v>
      </c>
      <c r="D21" s="315"/>
      <c r="E21" s="280"/>
      <c r="F21" s="280"/>
      <c r="G21" s="280"/>
      <c r="H21" s="337"/>
      <c r="I21" s="337" t="str">
        <f t="shared" si="1"/>
        <v>2.2</v>
      </c>
      <c r="J21" s="337" t="str">
        <f t="shared" si="2"/>
        <v>Расходы на топливо с указанием по каждому виду топлива стоимости (за единицу объема), объема и способа его приобретения, стоимости его доставки</v>
      </c>
      <c r="K21" s="337" t="str">
        <f t="shared" si="3"/>
        <v>Указываются суммарные расходы на приобретение топлива всех видов.</v>
      </c>
      <c r="L21" s="281" t="str">
        <f t="shared" si="4"/>
        <v>2.2</v>
      </c>
      <c r="M21" s="281" t="str">
        <f t="shared" si="5"/>
        <v>Расходы на топливо с указанием по каждому виду топлива стоимости (за единицу объема), объема и способа его приобретения, стоимости его доставки</v>
      </c>
      <c r="N21" s="281" t="str">
        <f t="shared" si="6"/>
        <v>Указываются суммарные расходы на приобретение топлива всех видов.</v>
      </c>
      <c r="O21" s="315" t="s">
        <v>310</v>
      </c>
      <c r="P21" s="315"/>
      <c r="Q21" s="315"/>
      <c r="R21" s="315"/>
      <c r="S21" s="315"/>
      <c r="T21" s="316" t="s">
        <v>2055</v>
      </c>
      <c r="U21" s="280"/>
      <c r="V21" s="280"/>
      <c r="W21" s="280"/>
      <c r="X21" s="280"/>
      <c r="Y21" s="335"/>
      <c r="Z21" s="280" t="s">
        <v>2056</v>
      </c>
      <c r="AA21" s="281"/>
      <c r="AB21" s="280"/>
      <c r="AC21" s="280"/>
      <c r="AD21" s="280"/>
    </row>
    <row r="22" spans="1:30" ht="36" customHeight="1">
      <c r="A22" s="282"/>
      <c r="B22" s="282">
        <v>5</v>
      </c>
      <c r="C22" s="280">
        <v>3</v>
      </c>
      <c r="D22" s="315"/>
      <c r="E22" s="280"/>
      <c r="F22" s="280"/>
      <c r="G22" s="299"/>
      <c r="H22" s="316"/>
      <c r="I22" s="337">
        <f t="shared" si="1"/>
        <v>0</v>
      </c>
      <c r="J22" s="337">
        <f t="shared" si="2"/>
        <v>0</v>
      </c>
      <c r="K22" s="337">
        <f t="shared" si="3"/>
        <v>0</v>
      </c>
      <c r="L22" s="281" t="str">
        <f t="shared" si="4"/>
        <v/>
      </c>
      <c r="M22" s="281" t="str">
        <f t="shared" si="5"/>
        <v/>
      </c>
      <c r="N22" s="281" t="str">
        <f t="shared" si="6"/>
        <v/>
      </c>
      <c r="O22" s="315"/>
      <c r="P22" s="315"/>
      <c r="Q22" s="315" t="s">
        <v>310</v>
      </c>
      <c r="R22" s="315"/>
      <c r="S22" s="315"/>
      <c r="T22" s="316"/>
      <c r="U22" s="280"/>
      <c r="V22" s="280" t="s">
        <v>2057</v>
      </c>
      <c r="W22" s="280"/>
      <c r="X22" s="280"/>
      <c r="Y22" s="335"/>
      <c r="Z22" s="280"/>
      <c r="AA22" s="281"/>
      <c r="AB22" s="280"/>
      <c r="AC22" s="280"/>
      <c r="AD22" s="280"/>
    </row>
    <row r="23" spans="1:30" ht="27" customHeight="1">
      <c r="A23" s="282"/>
      <c r="B23" s="282">
        <v>6</v>
      </c>
      <c r="C23" s="280">
        <v>4</v>
      </c>
      <c r="D23" s="315"/>
      <c r="E23" s="280"/>
      <c r="F23" s="280"/>
      <c r="G23" s="299"/>
      <c r="H23" s="316"/>
      <c r="I23" s="337">
        <f t="shared" si="1"/>
        <v>0</v>
      </c>
      <c r="J23" s="337">
        <f t="shared" si="2"/>
        <v>0</v>
      </c>
      <c r="K23" s="337">
        <f t="shared" si="3"/>
        <v>0</v>
      </c>
      <c r="L23" s="281" t="str">
        <f t="shared" si="4"/>
        <v/>
      </c>
      <c r="M23" s="281" t="str">
        <f t="shared" si="5"/>
        <v/>
      </c>
      <c r="N23" s="281" t="str">
        <f t="shared" si="6"/>
        <v/>
      </c>
      <c r="O23" s="315"/>
      <c r="P23" s="315"/>
      <c r="Q23" s="315" t="s">
        <v>313</v>
      </c>
      <c r="R23" s="315"/>
      <c r="S23" s="315"/>
      <c r="T23" s="316"/>
      <c r="U23" s="280"/>
      <c r="V23" s="280" t="s">
        <v>2058</v>
      </c>
      <c r="W23" s="280"/>
      <c r="X23" s="280"/>
      <c r="Y23" s="335"/>
      <c r="Z23" s="280"/>
      <c r="AA23" s="281"/>
      <c r="AB23" s="280"/>
      <c r="AC23" s="280"/>
      <c r="AD23" s="280"/>
    </row>
    <row r="24" spans="1:30" ht="36" customHeight="1">
      <c r="A24" s="282"/>
      <c r="B24" s="282">
        <v>7</v>
      </c>
      <c r="C24" s="280">
        <v>5</v>
      </c>
      <c r="D24" s="315"/>
      <c r="E24" s="280"/>
      <c r="F24" s="280"/>
      <c r="G24" s="299"/>
      <c r="H24" s="316"/>
      <c r="I24" s="337">
        <f t="shared" si="1"/>
        <v>0</v>
      </c>
      <c r="J24" s="337">
        <f t="shared" si="2"/>
        <v>0</v>
      </c>
      <c r="K24" s="337">
        <f t="shared" si="3"/>
        <v>0</v>
      </c>
      <c r="L24" s="281" t="str">
        <f t="shared" si="4"/>
        <v/>
      </c>
      <c r="M24" s="281" t="str">
        <f t="shared" si="5"/>
        <v/>
      </c>
      <c r="N24" s="281" t="str">
        <f t="shared" si="6"/>
        <v/>
      </c>
      <c r="O24" s="315"/>
      <c r="P24" s="315"/>
      <c r="Q24" s="315" t="s">
        <v>732</v>
      </c>
      <c r="R24" s="315"/>
      <c r="S24" s="315"/>
      <c r="T24" s="316"/>
      <c r="U24" s="280"/>
      <c r="V24" s="280" t="s">
        <v>2059</v>
      </c>
      <c r="W24" s="280"/>
      <c r="X24" s="280"/>
      <c r="Y24" s="335"/>
      <c r="Z24" s="280"/>
      <c r="AA24" s="281"/>
      <c r="AB24" s="280"/>
      <c r="AC24" s="280"/>
      <c r="AD24" s="280"/>
    </row>
    <row r="25" spans="1:30" ht="36" customHeight="1">
      <c r="A25" s="282"/>
      <c r="B25" s="282">
        <v>8</v>
      </c>
      <c r="C25" s="280">
        <v>6</v>
      </c>
      <c r="D25" s="315"/>
      <c r="E25" s="280"/>
      <c r="F25" s="280"/>
      <c r="G25" s="299"/>
      <c r="H25" s="316"/>
      <c r="I25" s="337" t="str">
        <f t="shared" si="1"/>
        <v>2.3</v>
      </c>
      <c r="J25" s="337" t="str">
        <f t="shared" si="2"/>
        <v>Расходы на приобретаемую электрическую энергию (мощность), используемую в технологическом процессе</v>
      </c>
      <c r="K25" s="337">
        <f t="shared" si="3"/>
        <v>0</v>
      </c>
      <c r="L25" s="281" t="str">
        <f t="shared" si="4"/>
        <v>2.3</v>
      </c>
      <c r="M25" s="281" t="str">
        <f t="shared" si="5"/>
        <v>Расходы на приобретаемую электрическую энергию (мощность), используемую в технологическом процессе</v>
      </c>
      <c r="N25" s="281" t="str">
        <f t="shared" si="6"/>
        <v/>
      </c>
      <c r="O25" s="315" t="s">
        <v>313</v>
      </c>
      <c r="P25" s="315" t="s">
        <v>310</v>
      </c>
      <c r="Q25" s="315" t="s">
        <v>739</v>
      </c>
      <c r="R25" s="315" t="s">
        <v>310</v>
      </c>
      <c r="S25" s="315"/>
      <c r="T25" s="316" t="s">
        <v>2060</v>
      </c>
      <c r="U25" s="280" t="s">
        <v>2060</v>
      </c>
      <c r="V25" s="280" t="s">
        <v>2060</v>
      </c>
      <c r="W25" s="280" t="s">
        <v>2060</v>
      </c>
      <c r="X25" s="280"/>
      <c r="Y25" s="335"/>
      <c r="Z25" s="280"/>
      <c r="AA25" s="281"/>
      <c r="AB25" s="280"/>
      <c r="AC25" s="280"/>
      <c r="AD25" s="280"/>
    </row>
    <row r="26" spans="1:30" ht="18" customHeight="1">
      <c r="A26" s="282"/>
      <c r="B26" s="282">
        <v>9</v>
      </c>
      <c r="C26" s="280" t="s">
        <v>656</v>
      </c>
      <c r="D26" s="315"/>
      <c r="E26" s="280"/>
      <c r="F26" s="280"/>
      <c r="G26" s="299"/>
      <c r="H26" s="316"/>
      <c r="I26" s="337" t="str">
        <f t="shared" si="1"/>
        <v>2.3.1</v>
      </c>
      <c r="J26" s="337" t="str">
        <f t="shared" si="2"/>
        <v>Средневзвешенная стоимость 1 кВт.ч (с учетом мощности)</v>
      </c>
      <c r="K26" s="337">
        <f t="shared" si="3"/>
        <v>0</v>
      </c>
      <c r="L26" s="281" t="str">
        <f t="shared" si="4"/>
        <v>2.3.1</v>
      </c>
      <c r="M26" s="281" t="str">
        <f t="shared" si="5"/>
        <v>Средневзвешенная стоимость 1 кВт.ч (с учетом мощности)</v>
      </c>
      <c r="N26" s="281" t="str">
        <f t="shared" si="6"/>
        <v/>
      </c>
      <c r="O26" s="315" t="s">
        <v>728</v>
      </c>
      <c r="P26" s="315" t="s">
        <v>722</v>
      </c>
      <c r="Q26" s="315" t="s">
        <v>2061</v>
      </c>
      <c r="R26" s="315" t="s">
        <v>722</v>
      </c>
      <c r="S26" s="315"/>
      <c r="T26" s="316" t="str">
        <f>"Средневзвешенная стоимость 1 кВт.ч"&amp;IF(TITLE_TYPE_ORG="Регулируемая организация"," (с учетом мощности)","")</f>
        <v>Средневзвешенная стоимость 1 кВт.ч (с учетом мощности)</v>
      </c>
      <c r="U26" s="316" t="s">
        <v>2062</v>
      </c>
      <c r="V26" s="316" t="s">
        <v>2062</v>
      </c>
      <c r="W26" s="316" t="s">
        <v>2062</v>
      </c>
      <c r="X26" s="280"/>
      <c r="Y26" s="335"/>
      <c r="Z26" s="280"/>
      <c r="AA26" s="281"/>
      <c r="AB26" s="280"/>
      <c r="AC26" s="280"/>
      <c r="AD26" s="280"/>
    </row>
    <row r="27" spans="1:30" ht="18" customHeight="1">
      <c r="A27" s="282"/>
      <c r="B27" s="282">
        <v>10</v>
      </c>
      <c r="C27" s="280" t="s">
        <v>660</v>
      </c>
      <c r="D27" s="315"/>
      <c r="E27" s="280"/>
      <c r="F27" s="280"/>
      <c r="G27" s="299"/>
      <c r="H27" s="316"/>
      <c r="I27" s="337" t="str">
        <f t="shared" si="1"/>
        <v>2.3.2</v>
      </c>
      <c r="J27" s="337" t="str">
        <f t="shared" si="2"/>
        <v>Объём приобретения электрической энергии</v>
      </c>
      <c r="K27" s="337">
        <f t="shared" si="3"/>
        <v>0</v>
      </c>
      <c r="L27" s="281" t="str">
        <f t="shared" si="4"/>
        <v>2.3.2</v>
      </c>
      <c r="M27" s="281" t="str">
        <f t="shared" si="5"/>
        <v>Объём приобретения электрической энергии</v>
      </c>
      <c r="N27" s="281" t="str">
        <f t="shared" si="6"/>
        <v/>
      </c>
      <c r="O27" s="315" t="s">
        <v>730</v>
      </c>
      <c r="P27" s="315" t="s">
        <v>724</v>
      </c>
      <c r="Q27" s="315" t="s">
        <v>2063</v>
      </c>
      <c r="R27" s="315" t="s">
        <v>724</v>
      </c>
      <c r="S27" s="315"/>
      <c r="T27" s="316" t="s">
        <v>2064</v>
      </c>
      <c r="U27" s="316" t="s">
        <v>2064</v>
      </c>
      <c r="V27" s="316" t="s">
        <v>2064</v>
      </c>
      <c r="W27" s="316" t="s">
        <v>2064</v>
      </c>
      <c r="X27" s="280"/>
      <c r="Y27" s="335"/>
      <c r="Z27" s="280"/>
      <c r="AA27" s="281"/>
      <c r="AB27" s="280"/>
      <c r="AC27" s="280"/>
      <c r="AD27" s="280"/>
    </row>
    <row r="28" spans="1:30" ht="27" customHeight="1">
      <c r="A28" s="282"/>
      <c r="B28" s="282">
        <v>11</v>
      </c>
      <c r="C28" s="280">
        <v>7</v>
      </c>
      <c r="D28" s="315"/>
      <c r="E28" s="280"/>
      <c r="F28" s="280"/>
      <c r="G28" s="299"/>
      <c r="H28" s="316"/>
      <c r="I28" s="337" t="str">
        <f t="shared" si="1"/>
        <v>2.4</v>
      </c>
      <c r="J28" s="337" t="str">
        <f t="shared" si="2"/>
        <v>Расходы на приобретение холодной воды, используемой в технологическом процессе</v>
      </c>
      <c r="K28" s="337">
        <f t="shared" si="3"/>
        <v>0</v>
      </c>
      <c r="L28" s="281" t="str">
        <f t="shared" si="4"/>
        <v>2.4</v>
      </c>
      <c r="M28" s="281" t="str">
        <f t="shared" si="5"/>
        <v>Расходы на приобретение холодной воды, используемой в технологическом процессе</v>
      </c>
      <c r="N28" s="281" t="str">
        <f t="shared" si="6"/>
        <v/>
      </c>
      <c r="O28" s="315" t="s">
        <v>732</v>
      </c>
      <c r="P28" s="315"/>
      <c r="Q28" s="315"/>
      <c r="R28" s="315"/>
      <c r="S28" s="315"/>
      <c r="T28" s="316" t="s">
        <v>2065</v>
      </c>
      <c r="U28" s="280"/>
      <c r="V28" s="280"/>
      <c r="W28" s="280"/>
      <c r="X28" s="280"/>
      <c r="Y28" s="335"/>
      <c r="Z28" s="280"/>
      <c r="AA28" s="281"/>
      <c r="AB28" s="280"/>
      <c r="AC28" s="280"/>
      <c r="AD28" s="280"/>
    </row>
    <row r="29" spans="1:30" ht="27" customHeight="1">
      <c r="A29" s="282"/>
      <c r="B29" s="282">
        <v>12</v>
      </c>
      <c r="C29" s="280">
        <v>8</v>
      </c>
      <c r="D29" s="315"/>
      <c r="E29" s="280"/>
      <c r="F29" s="280"/>
      <c r="G29" s="299"/>
      <c r="H29" s="316"/>
      <c r="I29" s="337" t="str">
        <f t="shared" si="1"/>
        <v>2.5</v>
      </c>
      <c r="J29" s="337" t="str">
        <f t="shared" si="2"/>
        <v>Расходы на  химические реагенты, используемые в технологическом процессе</v>
      </c>
      <c r="K29" s="337">
        <f t="shared" si="3"/>
        <v>0</v>
      </c>
      <c r="L29" s="281" t="str">
        <f t="shared" si="4"/>
        <v>2.5</v>
      </c>
      <c r="M29" s="281" t="str">
        <f t="shared" si="5"/>
        <v>Расходы на  химические реагенты, используемые в технологическом процессе</v>
      </c>
      <c r="N29" s="281" t="str">
        <f t="shared" si="6"/>
        <v/>
      </c>
      <c r="O29" s="315" t="s">
        <v>739</v>
      </c>
      <c r="P29" s="315" t="s">
        <v>313</v>
      </c>
      <c r="Q29" s="315"/>
      <c r="R29" s="315" t="s">
        <v>313</v>
      </c>
      <c r="S29" s="315"/>
      <c r="T29" s="316" t="str">
        <f>"Расходы на  хим"&amp;IF(TITLE_TYPE_ORG="Регулируемая организация","ические",".")&amp;" реагенты, используемые в технологическом процессе"</f>
        <v>Расходы на  химические реагенты, используемые в технологическом процессе</v>
      </c>
      <c r="U29" s="280" t="s">
        <v>2066</v>
      </c>
      <c r="V29" s="280"/>
      <c r="W29" s="280" t="s">
        <v>2066</v>
      </c>
      <c r="X29" s="280"/>
      <c r="Y29" s="335"/>
      <c r="Z29" s="280"/>
      <c r="AA29" s="281"/>
      <c r="AB29" s="280"/>
      <c r="AC29" s="280"/>
      <c r="AD29" s="280"/>
    </row>
    <row r="30" spans="1:30" ht="54" customHeight="1">
      <c r="A30" s="282"/>
      <c r="B30" s="282">
        <v>13</v>
      </c>
      <c r="C30" s="280">
        <v>9</v>
      </c>
      <c r="D30" s="315"/>
      <c r="E30" s="280"/>
      <c r="F30" s="280"/>
      <c r="G30" s="299"/>
      <c r="H30" s="316"/>
      <c r="I30" s="337" t="str">
        <f t="shared" si="1"/>
        <v>2.6</v>
      </c>
      <c r="J30" s="337" t="str">
        <f t="shared" si="2"/>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337">
        <f t="shared" si="3"/>
        <v>0</v>
      </c>
      <c r="L30" s="281" t="str">
        <f t="shared" si="4"/>
        <v>2.6</v>
      </c>
      <c r="M30" s="281" t="str">
        <f t="shared" si="5"/>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281" t="str">
        <f t="shared" si="6"/>
        <v/>
      </c>
      <c r="O30" s="315" t="s">
        <v>741</v>
      </c>
      <c r="P30" s="315" t="s">
        <v>732</v>
      </c>
      <c r="Q30" s="315" t="s">
        <v>741</v>
      </c>
      <c r="R30" s="315" t="s">
        <v>732</v>
      </c>
      <c r="S30" s="315"/>
      <c r="T30" s="316" t="s">
        <v>2067</v>
      </c>
      <c r="U30" s="280" t="s">
        <v>2067</v>
      </c>
      <c r="V30" s="280" t="s">
        <v>2067</v>
      </c>
      <c r="W30" s="280" t="s">
        <v>2067</v>
      </c>
      <c r="X30" s="280"/>
      <c r="Y30" s="335"/>
      <c r="Z30" s="280"/>
      <c r="AA30" s="281" t="s">
        <v>2068</v>
      </c>
      <c r="AB30" s="281" t="s">
        <v>2068</v>
      </c>
      <c r="AC30" s="281" t="s">
        <v>2068</v>
      </c>
      <c r="AD30" s="280"/>
    </row>
    <row r="31" spans="1:30" ht="18" customHeight="1">
      <c r="A31" s="282"/>
      <c r="B31" s="282">
        <v>14</v>
      </c>
      <c r="C31" s="280" t="s">
        <v>2069</v>
      </c>
      <c r="D31" s="315"/>
      <c r="E31" s="280"/>
      <c r="F31" s="280"/>
      <c r="G31" s="299"/>
      <c r="H31" s="316"/>
      <c r="I31" s="337" t="str">
        <f t="shared" si="1"/>
        <v>2.6.1</v>
      </c>
      <c r="J31" s="337" t="str">
        <f t="shared" si="2"/>
        <v>Расходы на оплату труда основного производственного персонала</v>
      </c>
      <c r="K31" s="337">
        <f t="shared" si="3"/>
        <v>0</v>
      </c>
      <c r="L31" s="281" t="str">
        <f t="shared" si="4"/>
        <v>2.6.1</v>
      </c>
      <c r="M31" s="281" t="str">
        <f t="shared" si="5"/>
        <v>Расходы на оплату труда основного производственного персонала</v>
      </c>
      <c r="N31" s="281" t="str">
        <f t="shared" si="6"/>
        <v/>
      </c>
      <c r="O31" s="315" t="s">
        <v>2070</v>
      </c>
      <c r="P31" s="315" t="s">
        <v>735</v>
      </c>
      <c r="Q31" s="315" t="s">
        <v>2070</v>
      </c>
      <c r="R31" s="315" t="s">
        <v>735</v>
      </c>
      <c r="S31" s="315"/>
      <c r="T31" s="319" t="s">
        <v>2071</v>
      </c>
      <c r="U31" s="280" t="s">
        <v>2071</v>
      </c>
      <c r="V31" s="280" t="s">
        <v>2071</v>
      </c>
      <c r="W31" s="280" t="s">
        <v>2071</v>
      </c>
      <c r="X31" s="280"/>
      <c r="Y31" s="335"/>
      <c r="Z31" s="280"/>
      <c r="AA31" s="281"/>
      <c r="AB31" s="281"/>
      <c r="AC31" s="281"/>
      <c r="AD31" s="280"/>
    </row>
    <row r="32" spans="1:30" ht="36" customHeight="1">
      <c r="A32" s="282"/>
      <c r="B32" s="282">
        <v>15</v>
      </c>
      <c r="C32" s="280" t="s">
        <v>2072</v>
      </c>
      <c r="D32" s="315"/>
      <c r="E32" s="280"/>
      <c r="F32" s="280"/>
      <c r="G32" s="299"/>
      <c r="H32" s="316"/>
      <c r="I32" s="337" t="str">
        <f t="shared" si="1"/>
        <v>2.6.2</v>
      </c>
      <c r="J32" s="337" t="str">
        <f t="shared" si="2"/>
        <v>Страховые взносы на обязательное социальное страхование, выплачиваемые из фонда оплаты труда основного производственного персонала</v>
      </c>
      <c r="K32" s="337">
        <f t="shared" si="3"/>
        <v>0</v>
      </c>
      <c r="L32" s="281" t="str">
        <f t="shared" si="4"/>
        <v>2.6.2</v>
      </c>
      <c r="M32" s="281" t="str">
        <f t="shared" si="5"/>
        <v>Страховые взносы на обязательное социальное страхование, выплачиваемые из фонда оплаты труда основного производственного персонала</v>
      </c>
      <c r="N32" s="281" t="str">
        <f t="shared" si="6"/>
        <v/>
      </c>
      <c r="O32" s="315" t="s">
        <v>2073</v>
      </c>
      <c r="P32" s="315" t="s">
        <v>737</v>
      </c>
      <c r="Q32" s="315" t="s">
        <v>2073</v>
      </c>
      <c r="R32" s="315" t="s">
        <v>737</v>
      </c>
      <c r="S32" s="315"/>
      <c r="T32" s="322" t="str">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Страховые взносы на обязательное социальное страхование, выплачиваемые из фонда оплаты труда основного производственного персонала</v>
      </c>
      <c r="U32" s="280" t="s">
        <v>2074</v>
      </c>
      <c r="V32" s="280" t="s">
        <v>2074</v>
      </c>
      <c r="W32" s="280" t="s">
        <v>2074</v>
      </c>
      <c r="X32" s="280"/>
      <c r="Y32" s="335"/>
      <c r="Z32" s="280"/>
      <c r="AA32" s="281"/>
      <c r="AB32" s="281"/>
      <c r="AC32" s="281"/>
      <c r="AD32" s="280"/>
    </row>
    <row r="33" spans="1:30" ht="45" customHeight="1">
      <c r="A33" s="282"/>
      <c r="B33" s="282">
        <v>16</v>
      </c>
      <c r="C33" s="280">
        <v>10</v>
      </c>
      <c r="D33" s="315"/>
      <c r="E33" s="280"/>
      <c r="F33" s="280"/>
      <c r="G33" s="299"/>
      <c r="H33" s="316"/>
      <c r="I33" s="337" t="str">
        <f t="shared" si="1"/>
        <v>2.7</v>
      </c>
      <c r="J33" s="337" t="str">
        <f t="shared" si="2"/>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337">
        <f t="shared" si="3"/>
        <v>0</v>
      </c>
      <c r="L33" s="281" t="str">
        <f t="shared" si="4"/>
        <v>2.7</v>
      </c>
      <c r="M33" s="281" t="str">
        <f t="shared" si="5"/>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281" t="str">
        <f t="shared" si="6"/>
        <v/>
      </c>
      <c r="O33" s="315" t="s">
        <v>743</v>
      </c>
      <c r="P33" s="315" t="s">
        <v>739</v>
      </c>
      <c r="Q33" s="315" t="s">
        <v>743</v>
      </c>
      <c r="R33" s="315" t="s">
        <v>739</v>
      </c>
      <c r="S33" s="315"/>
      <c r="T33" s="319" t="str">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U33" s="280" t="s">
        <v>2075</v>
      </c>
      <c r="V33" s="280" t="s">
        <v>2075</v>
      </c>
      <c r="W33" s="280" t="s">
        <v>2076</v>
      </c>
      <c r="X33" s="280"/>
      <c r="Y33" s="335"/>
      <c r="Z33" s="280"/>
      <c r="AA33" s="281" t="s">
        <v>2077</v>
      </c>
      <c r="AB33" s="281" t="s">
        <v>2077</v>
      </c>
      <c r="AC33" s="281" t="s">
        <v>2077</v>
      </c>
      <c r="AD33" s="280"/>
    </row>
    <row r="34" spans="1:30" ht="27" customHeight="1">
      <c r="A34" s="282"/>
      <c r="B34" s="282">
        <v>17</v>
      </c>
      <c r="C34" s="280" t="s">
        <v>2078</v>
      </c>
      <c r="D34" s="315"/>
      <c r="E34" s="280"/>
      <c r="F34" s="280"/>
      <c r="G34" s="299"/>
      <c r="H34" s="316"/>
      <c r="I34" s="337" t="str">
        <f t="shared" si="1"/>
        <v>2.7.1</v>
      </c>
      <c r="J34" s="337" t="str">
        <f t="shared" si="2"/>
        <v>Расходы на оплату труда административно-управленческого персонала</v>
      </c>
      <c r="K34" s="337">
        <f t="shared" si="3"/>
        <v>0</v>
      </c>
      <c r="L34" s="281" t="str">
        <f t="shared" si="4"/>
        <v>2.7.1</v>
      </c>
      <c r="M34" s="281" t="str">
        <f t="shared" si="5"/>
        <v>Расходы на оплату труда административно-управленческого персонала</v>
      </c>
      <c r="N34" s="281" t="str">
        <f t="shared" si="6"/>
        <v/>
      </c>
      <c r="O34" s="315" t="s">
        <v>2079</v>
      </c>
      <c r="P34" s="315" t="s">
        <v>2061</v>
      </c>
      <c r="Q34" s="315" t="s">
        <v>2079</v>
      </c>
      <c r="R34" s="315" t="s">
        <v>2061</v>
      </c>
      <c r="S34" s="315"/>
      <c r="T34" s="322" t="s">
        <v>2080</v>
      </c>
      <c r="U34" s="280" t="s">
        <v>2080</v>
      </c>
      <c r="V34" s="280" t="s">
        <v>2080</v>
      </c>
      <c r="W34" s="280" t="s">
        <v>2081</v>
      </c>
      <c r="X34" s="280"/>
      <c r="Y34" s="335"/>
      <c r="Z34" s="280"/>
      <c r="AA34" s="281"/>
      <c r="AB34" s="280"/>
      <c r="AC34" s="280"/>
      <c r="AD34" s="280"/>
    </row>
    <row r="35" spans="1:30" ht="45" customHeight="1">
      <c r="A35" s="282"/>
      <c r="B35" s="282">
        <v>18</v>
      </c>
      <c r="C35" s="280" t="s">
        <v>2082</v>
      </c>
      <c r="D35" s="315"/>
      <c r="E35" s="280"/>
      <c r="F35" s="280"/>
      <c r="G35" s="299"/>
      <c r="H35" s="316"/>
      <c r="I35" s="337" t="str">
        <f t="shared" si="1"/>
        <v>2.7.2</v>
      </c>
      <c r="J35" s="337" t="str">
        <f t="shared" si="2"/>
        <v>Страховые взносы на обязательное социальное страхование, выплачиваемые из фонда оплаты труда административно-управленческого персонала</v>
      </c>
      <c r="K35" s="337">
        <f t="shared" si="3"/>
        <v>0</v>
      </c>
      <c r="L35" s="281" t="str">
        <f t="shared" si="4"/>
        <v>2.7.2</v>
      </c>
      <c r="M35" s="281" t="str">
        <f t="shared" si="5"/>
        <v>Страховые взносы на обязательное социальное страхование, выплачиваемые из фонда оплаты труда административно-управленческого персонала</v>
      </c>
      <c r="N35" s="281" t="str">
        <f t="shared" si="6"/>
        <v/>
      </c>
      <c r="O35" s="315" t="s">
        <v>2083</v>
      </c>
      <c r="P35" s="315" t="s">
        <v>2063</v>
      </c>
      <c r="Q35" s="315" t="s">
        <v>2083</v>
      </c>
      <c r="R35" s="315" t="s">
        <v>2063</v>
      </c>
      <c r="S35" s="315"/>
      <c r="T35" s="316" t="str">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Страховые взносы на обязательное социальное страхование, выплачиваемые из фонда оплаты труда административно-управленческого персонала</v>
      </c>
      <c r="U35" s="280" t="s">
        <v>2084</v>
      </c>
      <c r="V35" s="280" t="s">
        <v>2084</v>
      </c>
      <c r="W35" s="280" t="s">
        <v>2084</v>
      </c>
      <c r="X35" s="280"/>
      <c r="Y35" s="335"/>
      <c r="Z35" s="280"/>
      <c r="AA35" s="281"/>
      <c r="AB35" s="280"/>
      <c r="AC35" s="280"/>
      <c r="AD35" s="280"/>
    </row>
    <row r="36" spans="1:30" ht="18" customHeight="1">
      <c r="A36" s="282"/>
      <c r="B36" s="282">
        <v>19</v>
      </c>
      <c r="C36" s="280">
        <v>11</v>
      </c>
      <c r="D36" s="315"/>
      <c r="E36" s="280"/>
      <c r="F36" s="280"/>
      <c r="G36" s="299"/>
      <c r="H36" s="316"/>
      <c r="I36" s="337" t="str">
        <f t="shared" si="1"/>
        <v>2.8</v>
      </c>
      <c r="J36" s="337" t="str">
        <f t="shared" si="2"/>
        <v>Расходы на амортизацию основных средств и нематериальных активов</v>
      </c>
      <c r="K36" s="337">
        <f t="shared" si="3"/>
        <v>0</v>
      </c>
      <c r="L36" s="281" t="str">
        <f t="shared" si="4"/>
        <v>2.8</v>
      </c>
      <c r="M36" s="281" t="str">
        <f t="shared" si="5"/>
        <v>Расходы на амортизацию основных средств и нематериальных активов</v>
      </c>
      <c r="N36" s="281" t="str">
        <f t="shared" si="6"/>
        <v/>
      </c>
      <c r="O36" s="315" t="s">
        <v>745</v>
      </c>
      <c r="P36" s="315" t="s">
        <v>741</v>
      </c>
      <c r="Q36" s="315" t="s">
        <v>745</v>
      </c>
      <c r="R36" s="315" t="s">
        <v>741</v>
      </c>
      <c r="S36" s="315"/>
      <c r="T36" s="316" t="s">
        <v>2085</v>
      </c>
      <c r="U36" s="280" t="s">
        <v>2085</v>
      </c>
      <c r="V36" s="280" t="s">
        <v>2085</v>
      </c>
      <c r="W36" s="280" t="s">
        <v>2085</v>
      </c>
      <c r="X36" s="280"/>
      <c r="Y36" s="335"/>
      <c r="Z36" s="280"/>
      <c r="AA36" s="281"/>
      <c r="AB36" s="280"/>
      <c r="AC36" s="280"/>
      <c r="AD36" s="280"/>
    </row>
    <row r="37" spans="1:30" ht="18" customHeight="1">
      <c r="A37" s="282"/>
      <c r="B37" s="282">
        <v>20</v>
      </c>
      <c r="C37" s="280" t="s">
        <v>2086</v>
      </c>
      <c r="D37" s="315"/>
      <c r="E37" s="280"/>
      <c r="F37" s="280"/>
      <c r="G37" s="299"/>
      <c r="H37" s="316"/>
      <c r="I37" s="337" t="str">
        <f t="shared" si="1"/>
        <v>2.8.1</v>
      </c>
      <c r="J37" s="337" t="str">
        <f t="shared" si="2"/>
        <v>Расходы на амортизацию основных средств</v>
      </c>
      <c r="K37" s="337">
        <f t="shared" si="3"/>
        <v>0</v>
      </c>
      <c r="L37" s="281" t="str">
        <f t="shared" si="4"/>
        <v>2.8.1</v>
      </c>
      <c r="M37" s="281" t="str">
        <f t="shared" si="5"/>
        <v>Расходы на амортизацию основных средств</v>
      </c>
      <c r="N37" s="281" t="str">
        <f t="shared" si="6"/>
        <v/>
      </c>
      <c r="O37" s="315" t="s">
        <v>2087</v>
      </c>
      <c r="P37" s="315" t="s">
        <v>2070</v>
      </c>
      <c r="Q37" s="315" t="s">
        <v>2087</v>
      </c>
      <c r="R37" s="315" t="s">
        <v>2070</v>
      </c>
      <c r="S37" s="315"/>
      <c r="T37" s="316" t="s">
        <v>2088</v>
      </c>
      <c r="U37" s="280" t="s">
        <v>2088</v>
      </c>
      <c r="V37" s="280" t="s">
        <v>2088</v>
      </c>
      <c r="W37" s="280" t="s">
        <v>2088</v>
      </c>
      <c r="X37" s="280"/>
      <c r="Y37" s="335"/>
      <c r="Z37" s="280"/>
      <c r="AA37" s="281"/>
      <c r="AB37" s="280"/>
      <c r="AC37" s="280"/>
      <c r="AD37" s="280"/>
    </row>
    <row r="38" spans="1:30" ht="18" customHeight="1">
      <c r="A38" s="282"/>
      <c r="B38" s="282">
        <v>21</v>
      </c>
      <c r="C38" s="280" t="s">
        <v>2089</v>
      </c>
      <c r="D38" s="315"/>
      <c r="E38" s="280"/>
      <c r="F38" s="280"/>
      <c r="G38" s="299"/>
      <c r="H38" s="316"/>
      <c r="I38" s="337" t="str">
        <f t="shared" si="1"/>
        <v>2.8.2</v>
      </c>
      <c r="J38" s="337" t="str">
        <f t="shared" si="2"/>
        <v>Расходы на амортизацию нематериальных активов</v>
      </c>
      <c r="K38" s="337">
        <f t="shared" si="3"/>
        <v>0</v>
      </c>
      <c r="L38" s="281" t="str">
        <f t="shared" si="4"/>
        <v>2.8.2</v>
      </c>
      <c r="M38" s="281" t="str">
        <f t="shared" si="5"/>
        <v>Расходы на амортизацию нематериальных активов</v>
      </c>
      <c r="N38" s="281" t="str">
        <f t="shared" si="6"/>
        <v/>
      </c>
      <c r="O38" s="315" t="s">
        <v>2090</v>
      </c>
      <c r="P38" s="315" t="s">
        <v>2073</v>
      </c>
      <c r="Q38" s="315" t="s">
        <v>2090</v>
      </c>
      <c r="R38" s="315" t="s">
        <v>2073</v>
      </c>
      <c r="S38" s="315"/>
      <c r="T38" s="316" t="s">
        <v>2091</v>
      </c>
      <c r="U38" s="280" t="s">
        <v>2091</v>
      </c>
      <c r="V38" s="280" t="s">
        <v>2091</v>
      </c>
      <c r="W38" s="280" t="s">
        <v>2091</v>
      </c>
      <c r="X38" s="280"/>
      <c r="Y38" s="335"/>
      <c r="Z38" s="280"/>
      <c r="AA38" s="281"/>
      <c r="AB38" s="280"/>
      <c r="AC38" s="280"/>
      <c r="AD38" s="280"/>
    </row>
    <row r="39" spans="1:30" ht="36" customHeight="1">
      <c r="A39" s="282"/>
      <c r="B39" s="282">
        <v>22</v>
      </c>
      <c r="C39" s="280">
        <v>12</v>
      </c>
      <c r="D39" s="315"/>
      <c r="E39" s="280"/>
      <c r="F39" s="280"/>
      <c r="G39" s="299"/>
      <c r="H39" s="316"/>
      <c r="I39" s="337" t="str">
        <f t="shared" si="1"/>
        <v>2.9</v>
      </c>
      <c r="J39" s="337" t="str">
        <f t="shared" si="2"/>
        <v>Расходы на аренду имущества, используемого для осуществления регулируемого вида деятельности</v>
      </c>
      <c r="K39" s="337">
        <f t="shared" si="3"/>
        <v>0</v>
      </c>
      <c r="L39" s="281" t="str">
        <f t="shared" si="4"/>
        <v>2.9</v>
      </c>
      <c r="M39" s="281" t="str">
        <f t="shared" si="5"/>
        <v>Расходы на аренду имущества, используемого для осуществления регулируемого вида деятельности</v>
      </c>
      <c r="N39" s="281" t="str">
        <f t="shared" si="6"/>
        <v/>
      </c>
      <c r="O39" s="315" t="s">
        <v>749</v>
      </c>
      <c r="P39" s="315" t="s">
        <v>743</v>
      </c>
      <c r="Q39" s="315" t="s">
        <v>749</v>
      </c>
      <c r="R39" s="315" t="s">
        <v>743</v>
      </c>
      <c r="S39" s="315"/>
      <c r="T39" s="316" t="s">
        <v>2092</v>
      </c>
      <c r="U39" s="280" t="s">
        <v>2093</v>
      </c>
      <c r="V39" s="280" t="s">
        <v>2094</v>
      </c>
      <c r="W39" s="280" t="s">
        <v>2095</v>
      </c>
      <c r="X39" s="280"/>
      <c r="Y39" s="335"/>
      <c r="Z39" s="280"/>
      <c r="AA39" s="281"/>
      <c r="AB39" s="280"/>
      <c r="AC39" s="280"/>
      <c r="AD39" s="280"/>
    </row>
    <row r="40" spans="1:30" ht="18" customHeight="1">
      <c r="A40" s="282"/>
      <c r="B40" s="282">
        <v>23</v>
      </c>
      <c r="C40" s="280">
        <v>13</v>
      </c>
      <c r="D40" s="315"/>
      <c r="E40" s="280"/>
      <c r="F40" s="280"/>
      <c r="G40" s="280"/>
      <c r="H40" s="301"/>
      <c r="I40" s="337" t="str">
        <f t="shared" si="1"/>
        <v>2.10</v>
      </c>
      <c r="J40" s="337" t="str">
        <f t="shared" si="2"/>
        <v>Общепроизводственные расходы, в том числе:</v>
      </c>
      <c r="K40" s="337" t="str">
        <f t="shared" si="3"/>
        <v>Указывается общая сумма общепроизводственных расходов.</v>
      </c>
      <c r="L40" s="281" t="str">
        <f t="shared" si="4"/>
        <v>2.10</v>
      </c>
      <c r="M40" s="281" t="str">
        <f t="shared" si="5"/>
        <v>Общепроизводственные расходы, в том числе:</v>
      </c>
      <c r="N40" s="281" t="str">
        <f t="shared" si="6"/>
        <v>Указывается общая сумма общепроизводственных расходов.</v>
      </c>
      <c r="O40" s="315" t="s">
        <v>2096</v>
      </c>
      <c r="P40" s="315" t="s">
        <v>745</v>
      </c>
      <c r="Q40" s="315" t="s">
        <v>2096</v>
      </c>
      <c r="R40" s="315" t="s">
        <v>745</v>
      </c>
      <c r="S40" s="315"/>
      <c r="T40" s="280" t="s">
        <v>2097</v>
      </c>
      <c r="U40" s="280" t="s">
        <v>2097</v>
      </c>
      <c r="V40" s="280" t="s">
        <v>2097</v>
      </c>
      <c r="W40" s="280" t="s">
        <v>2097</v>
      </c>
      <c r="X40" s="280"/>
      <c r="Y40" s="335"/>
      <c r="Z40" s="280" t="s">
        <v>2098</v>
      </c>
      <c r="AA40" s="281" t="s">
        <v>2098</v>
      </c>
      <c r="AB40" s="281" t="s">
        <v>2098</v>
      </c>
      <c r="AC40" s="281" t="s">
        <v>2098</v>
      </c>
      <c r="AD40" s="280"/>
    </row>
    <row r="41" spans="1:30" ht="27" customHeight="1">
      <c r="A41" s="282"/>
      <c r="B41" s="282">
        <v>24</v>
      </c>
      <c r="C41" s="280" t="s">
        <v>2099</v>
      </c>
      <c r="D41" s="315"/>
      <c r="E41" s="280"/>
      <c r="F41" s="280"/>
      <c r="G41" s="280"/>
      <c r="H41" s="299"/>
      <c r="I41" s="337" t="str">
        <f t="shared" si="1"/>
        <v>2.10.1</v>
      </c>
      <c r="J41" s="337" t="str">
        <f t="shared" si="2"/>
        <v>Расходы на текущий ремонт</v>
      </c>
      <c r="K41" s="337" t="str">
        <f t="shared" si="3"/>
        <v>Указываются расходы на текущий ремонт, отнесенные к общепроизводственным расходам.</v>
      </c>
      <c r="L41" s="281" t="str">
        <f t="shared" si="4"/>
        <v>2.10.1</v>
      </c>
      <c r="M41" s="281" t="str">
        <f t="shared" si="5"/>
        <v>Расходы на текущий ремонт</v>
      </c>
      <c r="N41" s="281" t="str">
        <f t="shared" si="6"/>
        <v>Указываются расходы на текущий ремонт, отнесенные к общепроизводственным расходам.</v>
      </c>
      <c r="O41" s="315" t="s">
        <v>2100</v>
      </c>
      <c r="P41" s="315" t="s">
        <v>2087</v>
      </c>
      <c r="Q41" s="315" t="s">
        <v>2100</v>
      </c>
      <c r="R41" s="315" t="s">
        <v>2087</v>
      </c>
      <c r="S41" s="315"/>
      <c r="T41" s="280" t="s">
        <v>2101</v>
      </c>
      <c r="U41" s="280" t="s">
        <v>2101</v>
      </c>
      <c r="V41" s="280" t="s">
        <v>2101</v>
      </c>
      <c r="W41" s="280" t="s">
        <v>2101</v>
      </c>
      <c r="X41" s="280"/>
      <c r="Y41" s="335"/>
      <c r="Z41" s="280" t="s">
        <v>2102</v>
      </c>
      <c r="AA41" s="280" t="s">
        <v>2102</v>
      </c>
      <c r="AB41" s="280" t="s">
        <v>2102</v>
      </c>
      <c r="AC41" s="280" t="s">
        <v>2102</v>
      </c>
      <c r="AD41" s="280"/>
    </row>
    <row r="42" spans="1:30" ht="27" customHeight="1">
      <c r="A42" s="282"/>
      <c r="B42" s="282">
        <v>25</v>
      </c>
      <c r="C42" s="280" t="s">
        <v>2103</v>
      </c>
      <c r="D42" s="315"/>
      <c r="E42" s="280"/>
      <c r="F42" s="280"/>
      <c r="G42" s="280"/>
      <c r="H42" s="299"/>
      <c r="I42" s="337" t="str">
        <f t="shared" si="1"/>
        <v>2.10.2</v>
      </c>
      <c r="J42" s="337" t="str">
        <f t="shared" si="2"/>
        <v>Расходы на капитальный ремонт</v>
      </c>
      <c r="K42" s="337" t="str">
        <f t="shared" si="3"/>
        <v>Указываются расходы на капитальный ремонт, отнесенные к общепроизводственным расходам.</v>
      </c>
      <c r="L42" s="281" t="str">
        <f t="shared" si="4"/>
        <v>2.10.2</v>
      </c>
      <c r="M42" s="281" t="str">
        <f t="shared" si="5"/>
        <v>Расходы на капитальный ремонт</v>
      </c>
      <c r="N42" s="281" t="str">
        <f t="shared" si="6"/>
        <v>Указываются расходы на капитальный ремонт, отнесенные к общепроизводственным расходам.</v>
      </c>
      <c r="O42" s="315" t="s">
        <v>2104</v>
      </c>
      <c r="P42" s="315" t="s">
        <v>2090</v>
      </c>
      <c r="Q42" s="315" t="s">
        <v>2104</v>
      </c>
      <c r="R42" s="315" t="s">
        <v>2090</v>
      </c>
      <c r="S42" s="315"/>
      <c r="T42" s="280" t="s">
        <v>2105</v>
      </c>
      <c r="U42" s="280" t="s">
        <v>2105</v>
      </c>
      <c r="V42" s="280" t="s">
        <v>2105</v>
      </c>
      <c r="W42" s="280" t="s">
        <v>2105</v>
      </c>
      <c r="X42" s="280"/>
      <c r="Y42" s="335"/>
      <c r="Z42" s="280" t="s">
        <v>2106</v>
      </c>
      <c r="AA42" s="280" t="s">
        <v>2106</v>
      </c>
      <c r="AB42" s="280" t="s">
        <v>2106</v>
      </c>
      <c r="AC42" s="280" t="s">
        <v>2106</v>
      </c>
      <c r="AD42" s="280"/>
    </row>
    <row r="43" spans="1:30" ht="18" customHeight="1">
      <c r="A43" s="282"/>
      <c r="B43" s="282">
        <v>26</v>
      </c>
      <c r="C43" s="280">
        <v>14</v>
      </c>
      <c r="D43" s="315"/>
      <c r="E43" s="280"/>
      <c r="F43" s="280"/>
      <c r="G43" s="280"/>
      <c r="H43" s="299"/>
      <c r="I43" s="337" t="str">
        <f t="shared" si="1"/>
        <v>2.11</v>
      </c>
      <c r="J43" s="337" t="str">
        <f t="shared" si="2"/>
        <v>Общехозяйственные расходы, в том числе:</v>
      </c>
      <c r="K43" s="337" t="str">
        <f t="shared" si="3"/>
        <v>Указывается общая сумма общехозяйственных расходов.</v>
      </c>
      <c r="L43" s="281" t="str">
        <f t="shared" si="4"/>
        <v>2.11</v>
      </c>
      <c r="M43" s="281" t="str">
        <f t="shared" si="5"/>
        <v>Общехозяйственные расходы, в том числе:</v>
      </c>
      <c r="N43" s="281" t="str">
        <f t="shared" si="6"/>
        <v>Указывается общая сумма общехозяйственных расходов.</v>
      </c>
      <c r="O43" s="315" t="s">
        <v>2107</v>
      </c>
      <c r="P43" s="315" t="s">
        <v>749</v>
      </c>
      <c r="Q43" s="315" t="s">
        <v>2107</v>
      </c>
      <c r="R43" s="315" t="s">
        <v>749</v>
      </c>
      <c r="S43" s="315"/>
      <c r="T43" s="280" t="s">
        <v>2108</v>
      </c>
      <c r="U43" s="280" t="s">
        <v>2108</v>
      </c>
      <c r="V43" s="280" t="s">
        <v>2108</v>
      </c>
      <c r="W43" s="280" t="s">
        <v>2108</v>
      </c>
      <c r="X43" s="280"/>
      <c r="Y43" s="335"/>
      <c r="Z43" s="280" t="s">
        <v>2109</v>
      </c>
      <c r="AA43" s="280" t="s">
        <v>2109</v>
      </c>
      <c r="AB43" s="280" t="s">
        <v>2109</v>
      </c>
      <c r="AC43" s="280" t="s">
        <v>2109</v>
      </c>
      <c r="AD43" s="280"/>
    </row>
    <row r="44" spans="1:30" ht="27" customHeight="1">
      <c r="A44" s="282"/>
      <c r="B44" s="282">
        <v>27</v>
      </c>
      <c r="C44" s="280" t="s">
        <v>2110</v>
      </c>
      <c r="D44" s="315"/>
      <c r="E44" s="280"/>
      <c r="F44" s="280"/>
      <c r="G44" s="280"/>
      <c r="H44" s="299"/>
      <c r="I44" s="337" t="str">
        <f t="shared" si="1"/>
        <v>2.11.1</v>
      </c>
      <c r="J44" s="337" t="str">
        <f t="shared" si="2"/>
        <v>Расходы на текущий ремонт</v>
      </c>
      <c r="K44" s="337" t="str">
        <f t="shared" si="3"/>
        <v>Указываются расходы на текущий ремонт, отнесенные к общехозяйственным расходам.</v>
      </c>
      <c r="L44" s="281" t="str">
        <f t="shared" si="4"/>
        <v>2.11.1</v>
      </c>
      <c r="M44" s="281" t="str">
        <f t="shared" si="5"/>
        <v>Расходы на текущий ремонт</v>
      </c>
      <c r="N44" s="281" t="str">
        <f t="shared" si="6"/>
        <v>Указываются расходы на текущий ремонт, отнесенные к общехозяйственным расходам.</v>
      </c>
      <c r="O44" s="315" t="s">
        <v>2111</v>
      </c>
      <c r="P44" s="315" t="s">
        <v>2112</v>
      </c>
      <c r="Q44" s="315" t="s">
        <v>2111</v>
      </c>
      <c r="R44" s="315" t="s">
        <v>2112</v>
      </c>
      <c r="S44" s="315"/>
      <c r="T44" s="280" t="s">
        <v>2101</v>
      </c>
      <c r="U44" s="280" t="s">
        <v>2101</v>
      </c>
      <c r="V44" s="280" t="s">
        <v>2101</v>
      </c>
      <c r="W44" s="280" t="s">
        <v>2101</v>
      </c>
      <c r="X44" s="280"/>
      <c r="Y44" s="335"/>
      <c r="Z44" s="280" t="s">
        <v>2113</v>
      </c>
      <c r="AA44" s="280" t="s">
        <v>2113</v>
      </c>
      <c r="AB44" s="280" t="s">
        <v>2113</v>
      </c>
      <c r="AC44" s="280" t="s">
        <v>2113</v>
      </c>
      <c r="AD44" s="280"/>
    </row>
    <row r="45" spans="1:30" ht="27" customHeight="1">
      <c r="A45" s="282"/>
      <c r="B45" s="282">
        <v>28</v>
      </c>
      <c r="C45" s="280" t="s">
        <v>2114</v>
      </c>
      <c r="D45" s="315"/>
      <c r="E45" s="280"/>
      <c r="F45" s="280"/>
      <c r="G45" s="280"/>
      <c r="H45" s="299"/>
      <c r="I45" s="337" t="str">
        <f t="shared" si="1"/>
        <v>2.11.2</v>
      </c>
      <c r="J45" s="337" t="str">
        <f t="shared" si="2"/>
        <v>Расходы на капитальный ремонт</v>
      </c>
      <c r="K45" s="337" t="str">
        <f t="shared" si="3"/>
        <v>Указываются расходы на капитальный ремонт, отнесенные к общехозяйственным расходам.</v>
      </c>
      <c r="L45" s="281" t="str">
        <f t="shared" si="4"/>
        <v>2.11.2</v>
      </c>
      <c r="M45" s="281" t="str">
        <f t="shared" si="5"/>
        <v>Расходы на капитальный ремонт</v>
      </c>
      <c r="N45" s="281" t="str">
        <f t="shared" si="6"/>
        <v>Указываются расходы на капитальный ремонт, отнесенные к общехозяйственным расходам.</v>
      </c>
      <c r="O45" s="315" t="s">
        <v>2115</v>
      </c>
      <c r="P45" s="315" t="s">
        <v>2116</v>
      </c>
      <c r="Q45" s="315" t="s">
        <v>2115</v>
      </c>
      <c r="R45" s="315" t="s">
        <v>2116</v>
      </c>
      <c r="S45" s="315"/>
      <c r="T45" s="280" t="s">
        <v>2105</v>
      </c>
      <c r="U45" s="280" t="s">
        <v>2105</v>
      </c>
      <c r="V45" s="280" t="s">
        <v>2105</v>
      </c>
      <c r="W45" s="280" t="s">
        <v>2105</v>
      </c>
      <c r="X45" s="280"/>
      <c r="Y45" s="335"/>
      <c r="Z45" s="280" t="s">
        <v>2117</v>
      </c>
      <c r="AA45" s="280" t="s">
        <v>2117</v>
      </c>
      <c r="AB45" s="280" t="s">
        <v>2117</v>
      </c>
      <c r="AC45" s="280" t="s">
        <v>2117</v>
      </c>
      <c r="AD45" s="280"/>
    </row>
    <row r="46" spans="1:30" ht="54" customHeight="1">
      <c r="A46" s="282"/>
      <c r="B46" s="282">
        <v>29</v>
      </c>
      <c r="C46" s="280">
        <v>15</v>
      </c>
      <c r="D46" s="315"/>
      <c r="E46" s="280"/>
      <c r="F46" s="280"/>
      <c r="G46" s="280"/>
      <c r="H46" s="299"/>
      <c r="I46" s="337" t="str">
        <f t="shared" si="1"/>
        <v>2.12</v>
      </c>
      <c r="J46" s="337" t="str">
        <f t="shared" si="2"/>
        <v>Расходы на капитальный и текущий ремонт основных средств</v>
      </c>
      <c r="K46" s="337" t="str">
        <f t="shared" si="3"/>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281" t="str">
        <f t="shared" si="4"/>
        <v>2.12</v>
      </c>
      <c r="M46" s="281" t="str">
        <f t="shared" si="5"/>
        <v>Расходы на капитальный и текущий ремонт основных средств</v>
      </c>
      <c r="N46" s="281" t="str">
        <f t="shared" si="6"/>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315" t="s">
        <v>2118</v>
      </c>
      <c r="P46" s="315" t="s">
        <v>2096</v>
      </c>
      <c r="Q46" s="315" t="s">
        <v>2118</v>
      </c>
      <c r="R46" s="315" t="s">
        <v>2096</v>
      </c>
      <c r="S46" s="315"/>
      <c r="T46" s="281" t="str">
        <f>"Расходы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средств</v>
      </c>
      <c r="U46" s="280" t="s">
        <v>2119</v>
      </c>
      <c r="V46" s="280" t="s">
        <v>2119</v>
      </c>
      <c r="W46" s="280" t="s">
        <v>2119</v>
      </c>
      <c r="X46" s="280"/>
      <c r="Y46" s="335"/>
      <c r="Z46" s="280" t="s">
        <v>2120</v>
      </c>
      <c r="AA46" s="280" t="s">
        <v>2121</v>
      </c>
      <c r="AB46" s="280" t="s">
        <v>2121</v>
      </c>
      <c r="AC46" s="280" t="s">
        <v>2121</v>
      </c>
      <c r="AD46" s="280"/>
    </row>
    <row r="47" spans="1:30" ht="54" customHeight="1">
      <c r="A47" s="282"/>
      <c r="B47" s="282">
        <v>30</v>
      </c>
      <c r="C47" s="280" t="s">
        <v>2122</v>
      </c>
      <c r="D47" s="315"/>
      <c r="E47" s="280"/>
      <c r="F47" s="280"/>
      <c r="G47" s="280"/>
      <c r="H47" s="299"/>
      <c r="I47" s="337" t="str">
        <f t="shared" si="1"/>
        <v>2.12.1</v>
      </c>
      <c r="J47" s="337" t="str">
        <f t="shared" si="2"/>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337">
        <f t="shared" si="3"/>
        <v>0</v>
      </c>
      <c r="L47" s="281" t="str">
        <f t="shared" si="4"/>
        <v>2.12.1</v>
      </c>
      <c r="M47" s="281" t="str">
        <f t="shared" si="5"/>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281" t="str">
        <f t="shared" si="6"/>
        <v/>
      </c>
      <c r="O47" s="315" t="s">
        <v>2123</v>
      </c>
      <c r="P47" s="315" t="s">
        <v>2100</v>
      </c>
      <c r="Q47" s="315" t="s">
        <v>2123</v>
      </c>
      <c r="R47" s="315" t="s">
        <v>2100</v>
      </c>
      <c r="S47" s="315"/>
      <c r="T47" s="280" t="s">
        <v>2124</v>
      </c>
      <c r="U47" s="280" t="s">
        <v>2124</v>
      </c>
      <c r="V47" s="280" t="s">
        <v>2124</v>
      </c>
      <c r="W47" s="280" t="s">
        <v>2124</v>
      </c>
      <c r="X47" s="280"/>
      <c r="Y47" s="335"/>
      <c r="Z47" s="280"/>
      <c r="AA47" s="281"/>
      <c r="AB47" s="281"/>
      <c r="AC47" s="281"/>
      <c r="AD47" s="280"/>
    </row>
    <row r="48" spans="1:30" ht="54" customHeight="1">
      <c r="A48" s="282"/>
      <c r="B48" s="282">
        <v>31</v>
      </c>
      <c r="C48" s="280">
        <v>16</v>
      </c>
      <c r="D48" s="315"/>
      <c r="E48" s="280"/>
      <c r="F48" s="280"/>
      <c r="G48" s="280"/>
      <c r="H48" s="299"/>
      <c r="I48" s="337">
        <f t="shared" si="1"/>
        <v>0</v>
      </c>
      <c r="J48" s="337">
        <f t="shared" si="2"/>
        <v>0</v>
      </c>
      <c r="K48" s="337">
        <f t="shared" si="3"/>
        <v>0</v>
      </c>
      <c r="L48" s="281" t="str">
        <f t="shared" si="4"/>
        <v/>
      </c>
      <c r="M48" s="281" t="str">
        <f t="shared" si="5"/>
        <v/>
      </c>
      <c r="N48" s="281" t="str">
        <f t="shared" si="6"/>
        <v/>
      </c>
      <c r="O48" s="315"/>
      <c r="P48" s="315" t="s">
        <v>2107</v>
      </c>
      <c r="Q48" s="315" t="s">
        <v>2125</v>
      </c>
      <c r="R48" s="315" t="s">
        <v>2107</v>
      </c>
      <c r="S48" s="315"/>
      <c r="T48" s="280"/>
      <c r="U48" s="280" t="s">
        <v>2126</v>
      </c>
      <c r="V48" s="280" t="s">
        <v>2127</v>
      </c>
      <c r="W48" s="280" t="s">
        <v>2127</v>
      </c>
      <c r="X48" s="280"/>
      <c r="Y48" s="335"/>
      <c r="Z48" s="280"/>
      <c r="AA48" s="281" t="s">
        <v>2121</v>
      </c>
      <c r="AB48" s="281" t="s">
        <v>2121</v>
      </c>
      <c r="AC48" s="281" t="s">
        <v>2121</v>
      </c>
      <c r="AD48" s="280"/>
    </row>
    <row r="49" spans="1:30" ht="54" customHeight="1">
      <c r="A49" s="282"/>
      <c r="B49" s="282">
        <v>32</v>
      </c>
      <c r="C49" s="280" t="s">
        <v>2128</v>
      </c>
      <c r="D49" s="315"/>
      <c r="E49" s="280"/>
      <c r="F49" s="280"/>
      <c r="G49" s="280"/>
      <c r="H49" s="299"/>
      <c r="I49" s="337">
        <f t="shared" si="1"/>
        <v>0</v>
      </c>
      <c r="J49" s="337">
        <f t="shared" si="2"/>
        <v>0</v>
      </c>
      <c r="K49" s="337">
        <f t="shared" si="3"/>
        <v>0</v>
      </c>
      <c r="L49" s="281" t="str">
        <f t="shared" si="4"/>
        <v/>
      </c>
      <c r="M49" s="281" t="str">
        <f t="shared" si="5"/>
        <v/>
      </c>
      <c r="N49" s="281" t="str">
        <f t="shared" si="6"/>
        <v/>
      </c>
      <c r="O49" s="315"/>
      <c r="P49" s="315" t="s">
        <v>2111</v>
      </c>
      <c r="Q49" s="315" t="s">
        <v>2129</v>
      </c>
      <c r="R49" s="315" t="s">
        <v>2111</v>
      </c>
      <c r="S49" s="315"/>
      <c r="T49" s="280"/>
      <c r="U49" s="280" t="s">
        <v>2124</v>
      </c>
      <c r="V49" s="280" t="s">
        <v>2124</v>
      </c>
      <c r="W49" s="280" t="s">
        <v>2124</v>
      </c>
      <c r="X49" s="280"/>
      <c r="Y49" s="335"/>
      <c r="Z49" s="280"/>
      <c r="AA49" s="281"/>
      <c r="AB49" s="281"/>
      <c r="AC49" s="281"/>
      <c r="AD49" s="280"/>
    </row>
    <row r="50" spans="1:30" ht="126" customHeight="1">
      <c r="A50" s="282"/>
      <c r="B50" s="282">
        <v>33</v>
      </c>
      <c r="C50" s="280">
        <v>17</v>
      </c>
      <c r="D50" s="315"/>
      <c r="E50" s="280"/>
      <c r="F50" s="280"/>
      <c r="G50" s="280"/>
      <c r="H50" s="299"/>
      <c r="I50" s="337" t="str">
        <f t="shared" ref="I50:I81" si="7">INDEX(TEMPLATE_NUMBER_POINT_FHD,B50,MATCH(TEMPLATE_SPHERE,TEMPLATE_SPHERE_LIST_FOR_NOTE,0))</f>
        <v>2.13</v>
      </c>
      <c r="J50" s="337" t="str">
        <f t="shared" ref="J50:J81" si="8">INDEX(TEMPLATE_DATA_POINT_FHD,B50,MATCH(TEMPLATE_SPHERE,TEMPLATE_SPHERE_LIST_FOR_NOTE,0))</f>
        <v>Прочие расходы, которые подлежат отнесению на регулируемые виды деятельности в соответствии с законодательством Российской Федерации</v>
      </c>
      <c r="K50" s="337" t="str">
        <f t="shared" ref="K50:K81" si="9">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L50" s="281" t="str">
        <f t="shared" ref="L50:L81" si="10">IF(I50=0,"",I50)</f>
        <v>2.13</v>
      </c>
      <c r="M50" s="281" t="str">
        <f t="shared" ref="M50:M81" si="11">IF(J50=0,"",J50)</f>
        <v>Прочие расходы, которые подлежат отнесению на регулируемые виды деятельности в соответствии с законодательством Российской Федерации</v>
      </c>
      <c r="N50" s="281" t="str">
        <f t="shared" ref="N50:N81" si="12">IF(K50=0,"",K50)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O50" s="315" t="s">
        <v>2125</v>
      </c>
      <c r="P50" s="315" t="s">
        <v>2118</v>
      </c>
      <c r="Q50" s="315" t="s">
        <v>2130</v>
      </c>
      <c r="R50" s="315" t="s">
        <v>2118</v>
      </c>
      <c r="S50" s="315"/>
      <c r="T50" s="280" t="s">
        <v>2131</v>
      </c>
      <c r="U50" s="280" t="s">
        <v>2132</v>
      </c>
      <c r="V50" s="280" t="s">
        <v>2133</v>
      </c>
      <c r="W50" s="280" t="s">
        <v>2134</v>
      </c>
      <c r="X50" s="280"/>
      <c r="Y50" s="335"/>
      <c r="Z50" s="280" t="s">
        <v>2135</v>
      </c>
      <c r="AA50" s="281" t="s">
        <v>2136</v>
      </c>
      <c r="AB50" s="281" t="s">
        <v>2136</v>
      </c>
      <c r="AC50" s="281" t="s">
        <v>2136</v>
      </c>
      <c r="AD50" s="280"/>
    </row>
    <row r="51" spans="1:30" ht="27" customHeight="1">
      <c r="A51" s="282"/>
      <c r="B51" s="282">
        <v>34</v>
      </c>
      <c r="C51" s="280" t="s">
        <v>2137</v>
      </c>
      <c r="D51" s="315"/>
      <c r="E51" s="280"/>
      <c r="F51" s="280"/>
      <c r="G51" s="280"/>
      <c r="H51" s="299"/>
      <c r="I51" s="337" t="str">
        <f t="shared" si="7"/>
        <v>3</v>
      </c>
      <c r="J51" s="337" t="str">
        <f t="shared" si="8"/>
        <v>Валовая прибыль (убытки) от реализации товаров и оказания услуг по регулируемому виду деятельности</v>
      </c>
      <c r="K51" s="337">
        <f t="shared" si="9"/>
        <v>0</v>
      </c>
      <c r="L51" s="281" t="str">
        <f t="shared" si="10"/>
        <v>3</v>
      </c>
      <c r="M51" s="281" t="str">
        <f t="shared" si="11"/>
        <v>Валовая прибыль (убытки) от реализации товаров и оказания услуг по регулируемому виду деятельности</v>
      </c>
      <c r="N51" s="281" t="str">
        <f t="shared" si="12"/>
        <v/>
      </c>
      <c r="O51" s="315" t="s">
        <v>90</v>
      </c>
      <c r="P51" s="315"/>
      <c r="Q51" s="315"/>
      <c r="R51" s="315"/>
      <c r="S51" s="315"/>
      <c r="T51" s="280" t="s">
        <v>2138</v>
      </c>
      <c r="U51" s="280"/>
      <c r="V51" s="280"/>
      <c r="W51" s="280"/>
      <c r="X51" s="280"/>
      <c r="Y51" s="335"/>
      <c r="Z51" s="280"/>
      <c r="AA51" s="281"/>
      <c r="AB51" s="281"/>
      <c r="AC51" s="281"/>
      <c r="AD51" s="280"/>
    </row>
    <row r="52" spans="1:30" ht="36" customHeight="1">
      <c r="A52" s="282"/>
      <c r="B52" s="282">
        <v>35</v>
      </c>
      <c r="C52" s="280" t="s">
        <v>2031</v>
      </c>
      <c r="D52" s="315" t="s">
        <v>2031</v>
      </c>
      <c r="E52" s="280" t="s">
        <v>2031</v>
      </c>
      <c r="F52" s="280" t="s">
        <v>2031</v>
      </c>
      <c r="G52" s="280"/>
      <c r="H52" s="299"/>
      <c r="I52" s="337" t="str">
        <f t="shared" si="7"/>
        <v>4</v>
      </c>
      <c r="J52" s="337" t="str">
        <f t="shared" si="8"/>
        <v>Чистая прибыль, полученная от регулируемого вида деятельности, в том числе:</v>
      </c>
      <c r="K52" s="337" t="str">
        <f t="shared" si="9"/>
        <v>Указывается общая сумма чистой прибыли, полученной от регулируемого вида деятельности.</v>
      </c>
      <c r="L52" s="281" t="str">
        <f t="shared" si="10"/>
        <v>4</v>
      </c>
      <c r="M52" s="281" t="str">
        <f t="shared" si="11"/>
        <v>Чистая прибыль, полученная от регулируемого вида деятельности, в том числе:</v>
      </c>
      <c r="N52" s="281" t="str">
        <f t="shared" si="12"/>
        <v>Указывается общая сумма чистой прибыли, полученной от регулируемого вида деятельности.</v>
      </c>
      <c r="O52" s="315" t="s">
        <v>91</v>
      </c>
      <c r="P52" s="315" t="s">
        <v>90</v>
      </c>
      <c r="Q52" s="315" t="s">
        <v>90</v>
      </c>
      <c r="R52" s="315" t="s">
        <v>90</v>
      </c>
      <c r="S52" s="315"/>
      <c r="T52" s="280" t="s">
        <v>2139</v>
      </c>
      <c r="U52" s="280" t="s">
        <v>2140</v>
      </c>
      <c r="V52" s="280" t="s">
        <v>2141</v>
      </c>
      <c r="W52" s="280" t="s">
        <v>2142</v>
      </c>
      <c r="X52" s="280"/>
      <c r="Y52" s="335"/>
      <c r="Z52" s="280" t="s">
        <v>753</v>
      </c>
      <c r="AA52" s="281" t="s">
        <v>753</v>
      </c>
      <c r="AB52" s="281" t="s">
        <v>753</v>
      </c>
      <c r="AC52" s="281" t="s">
        <v>753</v>
      </c>
      <c r="AD52" s="280"/>
    </row>
    <row r="53" spans="1:30" ht="36" customHeight="1">
      <c r="A53" s="282"/>
      <c r="B53" s="282">
        <v>36</v>
      </c>
      <c r="C53" s="280">
        <v>1</v>
      </c>
      <c r="D53" s="315"/>
      <c r="E53" s="280"/>
      <c r="F53" s="280"/>
      <c r="G53" s="280"/>
      <c r="H53" s="299"/>
      <c r="I53" s="337" t="str">
        <f t="shared" si="7"/>
        <v>4.1</v>
      </c>
      <c r="J53" s="337" t="str">
        <f t="shared" si="8"/>
        <v>Размер расходования чистой прибыли на финансирование мероприятий, предусмотренных инвестиционной программой регулируемой организации</v>
      </c>
      <c r="K53" s="337">
        <f t="shared" si="9"/>
        <v>0</v>
      </c>
      <c r="L53" s="281" t="str">
        <f t="shared" si="10"/>
        <v>4.1</v>
      </c>
      <c r="M53" s="281" t="str">
        <f t="shared" si="11"/>
        <v>Размер расходования чистой прибыли на финансирование мероприятий, предусмотренных инвестиционной программой регулируемой организации</v>
      </c>
      <c r="N53" s="281" t="str">
        <f t="shared" si="12"/>
        <v/>
      </c>
      <c r="O53" s="315" t="s">
        <v>757</v>
      </c>
      <c r="P53" s="315" t="s">
        <v>327</v>
      </c>
      <c r="Q53" s="315" t="s">
        <v>327</v>
      </c>
      <c r="R53" s="315" t="s">
        <v>327</v>
      </c>
      <c r="S53" s="315"/>
      <c r="T53" s="280" t="s">
        <v>2143</v>
      </c>
      <c r="U53" s="280" t="s">
        <v>2143</v>
      </c>
      <c r="V53" s="280" t="s">
        <v>2143</v>
      </c>
      <c r="W53" s="280" t="s">
        <v>2143</v>
      </c>
      <c r="X53" s="280"/>
      <c r="Y53" s="335"/>
      <c r="Z53" s="280"/>
      <c r="AA53" s="281"/>
      <c r="AB53" s="280"/>
      <c r="AC53" s="280"/>
      <c r="AD53" s="280"/>
    </row>
    <row r="54" spans="1:30" ht="18" customHeight="1">
      <c r="A54" s="282"/>
      <c r="B54" s="282">
        <v>37</v>
      </c>
      <c r="C54" s="280" t="s">
        <v>2037</v>
      </c>
      <c r="D54" s="315" t="s">
        <v>2037</v>
      </c>
      <c r="E54" s="280" t="s">
        <v>2037</v>
      </c>
      <c r="F54" s="280" t="s">
        <v>2037</v>
      </c>
      <c r="G54" s="280"/>
      <c r="H54" s="299"/>
      <c r="I54" s="337" t="str">
        <f t="shared" si="7"/>
        <v>5</v>
      </c>
      <c r="J54" s="337" t="str">
        <f t="shared" si="8"/>
        <v>Изменение стоимости основных фондов, в том числе:</v>
      </c>
      <c r="K54" s="337" t="str">
        <f t="shared" si="9"/>
        <v>Указывается общее изменение стоимости основных фондов.</v>
      </c>
      <c r="L54" s="281" t="str">
        <f t="shared" si="10"/>
        <v>5</v>
      </c>
      <c r="M54" s="281" t="str">
        <f t="shared" si="11"/>
        <v>Изменение стоимости основных фондов, в том числе:</v>
      </c>
      <c r="N54" s="281" t="str">
        <f t="shared" si="12"/>
        <v>Указывается общее изменение стоимости основных фондов.</v>
      </c>
      <c r="O54" s="315" t="s">
        <v>112</v>
      </c>
      <c r="P54" s="315" t="s">
        <v>91</v>
      </c>
      <c r="Q54" s="315" t="s">
        <v>91</v>
      </c>
      <c r="R54" s="315" t="s">
        <v>91</v>
      </c>
      <c r="S54" s="315"/>
      <c r="T54" s="280" t="s">
        <v>755</v>
      </c>
      <c r="U54" s="280" t="s">
        <v>755</v>
      </c>
      <c r="V54" s="280" t="s">
        <v>755</v>
      </c>
      <c r="W54" s="280" t="s">
        <v>755</v>
      </c>
      <c r="X54" s="280"/>
      <c r="Y54" s="335"/>
      <c r="Z54" s="280" t="s">
        <v>756</v>
      </c>
      <c r="AA54" s="280" t="s">
        <v>756</v>
      </c>
      <c r="AB54" s="280" t="s">
        <v>756</v>
      </c>
      <c r="AC54" s="280" t="s">
        <v>756</v>
      </c>
      <c r="AD54" s="280"/>
    </row>
    <row r="55" spans="1:30" ht="36" customHeight="1">
      <c r="A55" s="282"/>
      <c r="B55" s="282">
        <v>38</v>
      </c>
      <c r="C55" s="280">
        <v>1</v>
      </c>
      <c r="D55" s="315"/>
      <c r="E55" s="280"/>
      <c r="F55" s="280"/>
      <c r="G55" s="280"/>
      <c r="H55" s="299"/>
      <c r="I55" s="337" t="str">
        <f t="shared" si="7"/>
        <v>5.1</v>
      </c>
      <c r="J55" s="337" t="str">
        <f t="shared" si="8"/>
        <v>Изменение стоимости основных фондов за счет:</v>
      </c>
      <c r="K55" s="337" t="str">
        <f t="shared" si="9"/>
        <v>Указываются общее изменение стоимости основных фондов за счет их ввода в эксплуатацию и вывода из эксплуатации.</v>
      </c>
      <c r="L55" s="281" t="str">
        <f t="shared" si="10"/>
        <v>5.1</v>
      </c>
      <c r="M55" s="281" t="str">
        <f t="shared" si="11"/>
        <v>Изменение стоимости основных фондов за счет:</v>
      </c>
      <c r="N55" s="281" t="str">
        <f t="shared" si="12"/>
        <v>Указываются общее изменение стоимости основных фондов за счет их ввода в эксплуатацию и вывода из эксплуатации.</v>
      </c>
      <c r="O55" s="315" t="s">
        <v>316</v>
      </c>
      <c r="P55" s="315" t="s">
        <v>757</v>
      </c>
      <c r="Q55" s="315" t="s">
        <v>757</v>
      </c>
      <c r="R55" s="315" t="s">
        <v>757</v>
      </c>
      <c r="S55" s="315"/>
      <c r="T55" s="281" t="str">
        <f>IF(TITLE_TYPE_ORG="Регулируемая организация","Изменение стоимости основных фондов за счет:","за счет их ввода в эксплуатацию (вывода из эксплуатации)")</f>
        <v>Изменение стоимости основных фондов за счет:</v>
      </c>
      <c r="U55" s="280" t="s">
        <v>2144</v>
      </c>
      <c r="V55" s="280" t="s">
        <v>2144</v>
      </c>
      <c r="W55" s="280" t="s">
        <v>2144</v>
      </c>
      <c r="X55" s="280"/>
      <c r="Y55" s="335"/>
      <c r="Z55" s="280" t="s">
        <v>2145</v>
      </c>
      <c r="AA55" s="280" t="s">
        <v>2145</v>
      </c>
      <c r="AB55" s="280" t="s">
        <v>2145</v>
      </c>
      <c r="AC55" s="280" t="s">
        <v>2145</v>
      </c>
      <c r="AD55" s="280"/>
    </row>
    <row r="56" spans="1:30" ht="27" customHeight="1">
      <c r="A56" s="282"/>
      <c r="B56" s="282">
        <v>39</v>
      </c>
      <c r="C56" s="280" t="s">
        <v>1025</v>
      </c>
      <c r="D56" s="315"/>
      <c r="E56" s="280"/>
      <c r="F56" s="280"/>
      <c r="G56" s="280"/>
      <c r="H56" s="299"/>
      <c r="I56" s="337" t="str">
        <f t="shared" si="7"/>
        <v>5.1.1</v>
      </c>
      <c r="J56" s="337" t="str">
        <f t="shared" si="8"/>
        <v>Изменения стоимости основных фондов за счет их ввода в эксплуатацию</v>
      </c>
      <c r="K56" s="337" t="str">
        <f t="shared" si="9"/>
        <v>Указываются изменение стоимости основных фондов за счет их ввода в эксплуатацию.</v>
      </c>
      <c r="L56" s="281" t="str">
        <f t="shared" si="10"/>
        <v>5.1.1</v>
      </c>
      <c r="M56" s="281" t="str">
        <f t="shared" si="11"/>
        <v>Изменения стоимости основных фондов за счет их ввода в эксплуатацию</v>
      </c>
      <c r="N56" s="281" t="str">
        <f t="shared" si="12"/>
        <v>Указываются изменение стоимости основных фондов за счет их ввода в эксплуатацию.</v>
      </c>
      <c r="O56" s="315" t="s">
        <v>1143</v>
      </c>
      <c r="P56" s="315" t="s">
        <v>760</v>
      </c>
      <c r="Q56" s="315" t="s">
        <v>760</v>
      </c>
      <c r="R56" s="315" t="s">
        <v>760</v>
      </c>
      <c r="S56" s="315"/>
      <c r="T56" s="281" t="str">
        <f>IF(TITLE_TYPE_ORG="Регулируемая организация","Изменения стоимости основных фондов за счет их ввода в эксплуатацию","за счет их ввода в эксплуатацию")</f>
        <v>Изменения стоимости основных фондов за счет их ввода в эксплуатацию</v>
      </c>
      <c r="U56" s="280" t="s">
        <v>2146</v>
      </c>
      <c r="V56" s="280" t="s">
        <v>2146</v>
      </c>
      <c r="W56" s="280" t="s">
        <v>2146</v>
      </c>
      <c r="X56" s="280"/>
      <c r="Y56" s="335"/>
      <c r="Z56" s="280" t="s">
        <v>762</v>
      </c>
      <c r="AA56" s="280" t="s">
        <v>762</v>
      </c>
      <c r="AB56" s="280" t="s">
        <v>762</v>
      </c>
      <c r="AC56" s="280" t="s">
        <v>762</v>
      </c>
      <c r="AD56" s="280"/>
    </row>
    <row r="57" spans="1:30" ht="27" customHeight="1">
      <c r="A57" s="282"/>
      <c r="B57" s="282">
        <v>40</v>
      </c>
      <c r="C57" s="280" t="s">
        <v>1027</v>
      </c>
      <c r="D57" s="315"/>
      <c r="E57" s="280"/>
      <c r="F57" s="280"/>
      <c r="G57" s="280"/>
      <c r="H57" s="299"/>
      <c r="I57" s="337" t="str">
        <f t="shared" si="7"/>
        <v>5.1.2</v>
      </c>
      <c r="J57" s="337" t="str">
        <f t="shared" si="8"/>
        <v>Изменения стоимости основных фондов за счет их вывода в эксплуатацию</v>
      </c>
      <c r="K57" s="337" t="str">
        <f t="shared" si="9"/>
        <v>Указываются изменение стоимости основных фондов за счет их вывода из эксплуатации.</v>
      </c>
      <c r="L57" s="281" t="str">
        <f t="shared" si="10"/>
        <v>5.1.2</v>
      </c>
      <c r="M57" s="281" t="str">
        <f t="shared" si="11"/>
        <v>Изменения стоимости основных фондов за счет их вывода в эксплуатацию</v>
      </c>
      <c r="N57" s="281" t="str">
        <f t="shared" si="12"/>
        <v>Указываются изменение стоимости основных фондов за счет их вывода из эксплуатации.</v>
      </c>
      <c r="O57" s="315" t="s">
        <v>2147</v>
      </c>
      <c r="P57" s="315" t="s">
        <v>763</v>
      </c>
      <c r="Q57" s="315" t="s">
        <v>763</v>
      </c>
      <c r="R57" s="315" t="s">
        <v>763</v>
      </c>
      <c r="S57" s="315"/>
      <c r="T57" s="281" t="str">
        <f>IF(TITLE_TYPE_ORG="Регулируемая организация","Изменения стоимости основных фондов за счет их вывода в эксплуатацию","за счет их вывода в эксплуатацию")</f>
        <v>Изменения стоимости основных фондов за счет их вывода в эксплуатацию</v>
      </c>
      <c r="U57" s="280" t="s">
        <v>2148</v>
      </c>
      <c r="V57" s="280" t="s">
        <v>2148</v>
      </c>
      <c r="W57" s="280" t="s">
        <v>2148</v>
      </c>
      <c r="X57" s="280"/>
      <c r="Y57" s="335"/>
      <c r="Z57" s="280" t="s">
        <v>765</v>
      </c>
      <c r="AA57" s="280" t="s">
        <v>765</v>
      </c>
      <c r="AB57" s="280" t="s">
        <v>765</v>
      </c>
      <c r="AC57" s="280" t="s">
        <v>765</v>
      </c>
      <c r="AD57" s="280"/>
    </row>
    <row r="58" spans="1:30" ht="18" customHeight="1">
      <c r="A58" s="282"/>
      <c r="B58" s="282">
        <v>41</v>
      </c>
      <c r="C58" s="280">
        <v>2</v>
      </c>
      <c r="D58" s="315"/>
      <c r="E58" s="280"/>
      <c r="F58" s="280"/>
      <c r="G58" s="280"/>
      <c r="H58" s="299"/>
      <c r="I58" s="337" t="str">
        <f t="shared" si="7"/>
        <v>5.2</v>
      </c>
      <c r="J58" s="337" t="str">
        <f t="shared" si="8"/>
        <v>Изменение стоимости основных фондов за счет их переоценки</v>
      </c>
      <c r="K58" s="337">
        <f t="shared" si="9"/>
        <v>0</v>
      </c>
      <c r="L58" s="281" t="str">
        <f t="shared" si="10"/>
        <v>5.2</v>
      </c>
      <c r="M58" s="281" t="str">
        <f t="shared" si="11"/>
        <v>Изменение стоимости основных фондов за счет их переоценки</v>
      </c>
      <c r="N58" s="281" t="str">
        <f t="shared" si="12"/>
        <v/>
      </c>
      <c r="O58" s="315" t="s">
        <v>885</v>
      </c>
      <c r="P58" s="315" t="s">
        <v>799</v>
      </c>
      <c r="Q58" s="315" t="s">
        <v>799</v>
      </c>
      <c r="R58" s="315" t="s">
        <v>799</v>
      </c>
      <c r="S58" s="315"/>
      <c r="T58" s="281" t="str">
        <f>IF(TITLE_TYPE_ORG="Регулируемая организация","Изменение стоимости основных фондов за счет их переоценки","за счет их переоценки")</f>
        <v>Изменение стоимости основных фондов за счет их переоценки</v>
      </c>
      <c r="U58" s="280" t="s">
        <v>2149</v>
      </c>
      <c r="V58" s="280" t="s">
        <v>2149</v>
      </c>
      <c r="W58" s="280" t="s">
        <v>2149</v>
      </c>
      <c r="X58" s="280"/>
      <c r="Y58" s="335"/>
      <c r="Z58" s="280"/>
      <c r="AA58" s="281"/>
      <c r="AB58" s="280"/>
      <c r="AC58" s="280"/>
      <c r="AD58" s="280"/>
    </row>
    <row r="59" spans="1:30" ht="36" customHeight="1">
      <c r="A59" s="282"/>
      <c r="B59" s="282">
        <v>42</v>
      </c>
      <c r="C59" s="280">
        <v>3</v>
      </c>
      <c r="D59" s="315" t="s">
        <v>2137</v>
      </c>
      <c r="E59" s="280" t="s">
        <v>2137</v>
      </c>
      <c r="F59" s="280" t="s">
        <v>2137</v>
      </c>
      <c r="G59" s="280"/>
      <c r="H59" s="299"/>
      <c r="I59" s="337">
        <f t="shared" si="7"/>
        <v>0</v>
      </c>
      <c r="J59" s="337">
        <f t="shared" si="8"/>
        <v>0</v>
      </c>
      <c r="K59" s="337">
        <f t="shared" si="9"/>
        <v>0</v>
      </c>
      <c r="L59" s="281" t="str">
        <f t="shared" si="10"/>
        <v/>
      </c>
      <c r="M59" s="281" t="str">
        <f t="shared" si="11"/>
        <v/>
      </c>
      <c r="N59" s="281" t="str">
        <f t="shared" si="12"/>
        <v/>
      </c>
      <c r="O59" s="315"/>
      <c r="P59" s="315" t="s">
        <v>112</v>
      </c>
      <c r="Q59" s="315" t="s">
        <v>112</v>
      </c>
      <c r="R59" s="315" t="s">
        <v>112</v>
      </c>
      <c r="S59" s="315"/>
      <c r="T59" s="280"/>
      <c r="U59" s="280" t="s">
        <v>2150</v>
      </c>
      <c r="V59" s="280" t="s">
        <v>2151</v>
      </c>
      <c r="W59" s="280" t="s">
        <v>2152</v>
      </c>
      <c r="X59" s="280"/>
      <c r="Y59" s="335"/>
      <c r="Z59" s="280"/>
      <c r="AA59" s="281"/>
      <c r="AB59" s="280"/>
      <c r="AC59" s="280"/>
      <c r="AD59" s="280"/>
    </row>
    <row r="60" spans="1:30" ht="81" customHeight="1">
      <c r="A60" s="282"/>
      <c r="B60" s="282">
        <v>43</v>
      </c>
      <c r="C60" s="280" t="s">
        <v>2153</v>
      </c>
      <c r="D60" s="315" t="s">
        <v>2153</v>
      </c>
      <c r="E60" s="280" t="s">
        <v>2153</v>
      </c>
      <c r="F60" s="280" t="s">
        <v>2153</v>
      </c>
      <c r="G60" s="280"/>
      <c r="H60" s="299"/>
      <c r="I60" s="337" t="str">
        <f t="shared" si="7"/>
        <v>6</v>
      </c>
      <c r="J60" s="337" t="str">
        <f t="shared" si="8"/>
        <v>Годовая бухгалтерская (финансовая) отчетность, включая бухгалтерский баланс и приложения к нему</v>
      </c>
      <c r="K60" s="337" t="str">
        <f t="shared" si="9"/>
        <v>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L60" s="281" t="str">
        <f t="shared" si="10"/>
        <v>6</v>
      </c>
      <c r="M60" s="281" t="str">
        <f t="shared" si="11"/>
        <v>Годовая бухгалтерская (финансовая) отчетность, включая бухгалтерский баланс и приложения к нему</v>
      </c>
      <c r="N60" s="281" t="str">
        <f t="shared" si="12"/>
        <v>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O60" s="315" t="s">
        <v>92</v>
      </c>
      <c r="P60" s="315" t="s">
        <v>92</v>
      </c>
      <c r="Q60" s="315" t="s">
        <v>92</v>
      </c>
      <c r="R60" s="315" t="s">
        <v>92</v>
      </c>
      <c r="S60" s="315"/>
      <c r="T60" s="280" t="s">
        <v>633</v>
      </c>
      <c r="U60" s="280" t="s">
        <v>633</v>
      </c>
      <c r="V60" s="280" t="s">
        <v>633</v>
      </c>
      <c r="W60" s="280" t="s">
        <v>633</v>
      </c>
      <c r="X60" s="280"/>
      <c r="Y60" s="335"/>
      <c r="Z60" s="280" t="s">
        <v>2154</v>
      </c>
      <c r="AA60" s="281" t="s">
        <v>2155</v>
      </c>
      <c r="AB60" s="280" t="s">
        <v>2156</v>
      </c>
      <c r="AC60" s="280" t="s">
        <v>2155</v>
      </c>
      <c r="AD60" s="280"/>
    </row>
    <row r="61" spans="1:30" ht="9" customHeight="1">
      <c r="A61" s="282"/>
      <c r="B61" s="282">
        <v>44</v>
      </c>
      <c r="C61" s="280"/>
      <c r="D61" s="315" t="s">
        <v>2157</v>
      </c>
      <c r="E61" s="280"/>
      <c r="F61" s="280"/>
      <c r="G61" s="280"/>
      <c r="H61" s="299"/>
      <c r="I61" s="337">
        <f t="shared" si="7"/>
        <v>0</v>
      </c>
      <c r="J61" s="337">
        <f t="shared" si="8"/>
        <v>0</v>
      </c>
      <c r="K61" s="337">
        <f t="shared" si="9"/>
        <v>0</v>
      </c>
      <c r="L61" s="281" t="str">
        <f t="shared" si="10"/>
        <v/>
      </c>
      <c r="M61" s="281" t="str">
        <f t="shared" si="11"/>
        <v/>
      </c>
      <c r="N61" s="281" t="str">
        <f t="shared" si="12"/>
        <v/>
      </c>
      <c r="O61" s="315"/>
      <c r="P61" s="315" t="s">
        <v>93</v>
      </c>
      <c r="Q61" s="315"/>
      <c r="R61" s="315"/>
      <c r="S61" s="315"/>
      <c r="T61" s="280"/>
      <c r="U61" s="280" t="s">
        <v>2158</v>
      </c>
      <c r="V61" s="280"/>
      <c r="W61" s="280"/>
      <c r="X61" s="280"/>
      <c r="Y61" s="335"/>
      <c r="Z61" s="280"/>
      <c r="AA61" s="281"/>
      <c r="AB61" s="280"/>
      <c r="AC61" s="280"/>
      <c r="AD61" s="280"/>
    </row>
    <row r="62" spans="1:30" ht="9" customHeight="1">
      <c r="A62" s="282"/>
      <c r="B62" s="282">
        <v>45</v>
      </c>
      <c r="C62" s="280"/>
      <c r="D62" s="315" t="s">
        <v>2159</v>
      </c>
      <c r="E62" s="280"/>
      <c r="F62" s="280"/>
      <c r="G62" s="280"/>
      <c r="H62" s="299"/>
      <c r="I62" s="337">
        <f t="shared" si="7"/>
        <v>0</v>
      </c>
      <c r="J62" s="337">
        <f t="shared" si="8"/>
        <v>0</v>
      </c>
      <c r="K62" s="337">
        <f t="shared" si="9"/>
        <v>0</v>
      </c>
      <c r="L62" s="281" t="str">
        <f t="shared" si="10"/>
        <v/>
      </c>
      <c r="M62" s="281" t="str">
        <f t="shared" si="11"/>
        <v/>
      </c>
      <c r="N62" s="281" t="str">
        <f t="shared" si="12"/>
        <v/>
      </c>
      <c r="O62" s="315"/>
      <c r="P62" s="315" t="s">
        <v>113</v>
      </c>
      <c r="Q62" s="315"/>
      <c r="R62" s="315"/>
      <c r="S62" s="315"/>
      <c r="T62" s="280"/>
      <c r="U62" s="280" t="s">
        <v>2160</v>
      </c>
      <c r="V62" s="280"/>
      <c r="W62" s="280"/>
      <c r="X62" s="280"/>
      <c r="Y62" s="335"/>
      <c r="Z62" s="280"/>
      <c r="AA62" s="281"/>
      <c r="AB62" s="280"/>
      <c r="AC62" s="280"/>
      <c r="AD62" s="280"/>
    </row>
    <row r="63" spans="1:30" ht="18" customHeight="1">
      <c r="A63" s="282"/>
      <c r="B63" s="282">
        <v>46</v>
      </c>
      <c r="C63" s="280"/>
      <c r="D63" s="315" t="s">
        <v>2161</v>
      </c>
      <c r="E63" s="280"/>
      <c r="F63" s="280"/>
      <c r="G63" s="280"/>
      <c r="H63" s="299"/>
      <c r="I63" s="337">
        <f t="shared" si="7"/>
        <v>0</v>
      </c>
      <c r="J63" s="337">
        <f t="shared" si="8"/>
        <v>0</v>
      </c>
      <c r="K63" s="337">
        <f t="shared" si="9"/>
        <v>0</v>
      </c>
      <c r="L63" s="281" t="str">
        <f t="shared" si="10"/>
        <v/>
      </c>
      <c r="M63" s="281" t="str">
        <f t="shared" si="11"/>
        <v/>
      </c>
      <c r="N63" s="281" t="str">
        <f t="shared" si="12"/>
        <v/>
      </c>
      <c r="O63" s="315"/>
      <c r="P63" s="315" t="s">
        <v>153</v>
      </c>
      <c r="Q63" s="315"/>
      <c r="R63" s="315"/>
      <c r="S63" s="315"/>
      <c r="T63" s="280"/>
      <c r="U63" s="280" t="s">
        <v>2162</v>
      </c>
      <c r="V63" s="280"/>
      <c r="W63" s="280"/>
      <c r="X63" s="280"/>
      <c r="Y63" s="335"/>
      <c r="Z63" s="280"/>
      <c r="AA63" s="281"/>
      <c r="AB63" s="280"/>
      <c r="AC63" s="280"/>
      <c r="AD63" s="280"/>
    </row>
    <row r="64" spans="1:30" ht="18" customHeight="1">
      <c r="A64" s="282"/>
      <c r="B64" s="282">
        <v>47</v>
      </c>
      <c r="C64" s="280"/>
      <c r="D64" s="315" t="s">
        <v>2163</v>
      </c>
      <c r="E64" s="280"/>
      <c r="F64" s="280"/>
      <c r="G64" s="280"/>
      <c r="H64" s="299"/>
      <c r="I64" s="337">
        <f t="shared" si="7"/>
        <v>0</v>
      </c>
      <c r="J64" s="337">
        <f t="shared" si="8"/>
        <v>0</v>
      </c>
      <c r="K64" s="337">
        <f t="shared" si="9"/>
        <v>0</v>
      </c>
      <c r="L64" s="281" t="str">
        <f t="shared" si="10"/>
        <v/>
      </c>
      <c r="M64" s="281" t="str">
        <f t="shared" si="11"/>
        <v/>
      </c>
      <c r="N64" s="281" t="str">
        <f t="shared" si="12"/>
        <v/>
      </c>
      <c r="O64" s="315"/>
      <c r="P64" s="315" t="s">
        <v>154</v>
      </c>
      <c r="Q64" s="315"/>
      <c r="R64" s="315"/>
      <c r="S64" s="315"/>
      <c r="T64" s="280"/>
      <c r="U64" s="280" t="s">
        <v>2164</v>
      </c>
      <c r="V64" s="280"/>
      <c r="W64" s="280"/>
      <c r="X64" s="280"/>
      <c r="Y64" s="335"/>
      <c r="Z64" s="280"/>
      <c r="AA64" s="281" t="s">
        <v>2165</v>
      </c>
      <c r="AB64" s="280"/>
      <c r="AC64" s="280"/>
      <c r="AD64" s="280"/>
    </row>
    <row r="65" spans="1:30" ht="18" customHeight="1">
      <c r="A65" s="282"/>
      <c r="B65" s="282">
        <v>48</v>
      </c>
      <c r="C65" s="280"/>
      <c r="D65" s="315"/>
      <c r="E65" s="280"/>
      <c r="F65" s="280"/>
      <c r="G65" s="280"/>
      <c r="H65" s="299"/>
      <c r="I65" s="337">
        <f t="shared" si="7"/>
        <v>0</v>
      </c>
      <c r="J65" s="337">
        <f t="shared" si="8"/>
        <v>0</v>
      </c>
      <c r="K65" s="337">
        <f t="shared" si="9"/>
        <v>0</v>
      </c>
      <c r="L65" s="281" t="str">
        <f t="shared" si="10"/>
        <v/>
      </c>
      <c r="M65" s="281" t="str">
        <f t="shared" si="11"/>
        <v/>
      </c>
      <c r="N65" s="281" t="str">
        <f t="shared" si="12"/>
        <v/>
      </c>
      <c r="O65" s="315"/>
      <c r="P65" s="315" t="s">
        <v>2078</v>
      </c>
      <c r="Q65" s="315"/>
      <c r="R65" s="315"/>
      <c r="S65" s="315"/>
      <c r="T65" s="280"/>
      <c r="U65" s="280" t="s">
        <v>2166</v>
      </c>
      <c r="V65" s="280"/>
      <c r="W65" s="280"/>
      <c r="X65" s="280"/>
      <c r="Y65" s="335"/>
      <c r="Z65" s="280"/>
      <c r="AA65" s="281"/>
      <c r="AB65" s="280"/>
      <c r="AC65" s="280"/>
      <c r="AD65" s="280"/>
    </row>
    <row r="66" spans="1:30" ht="18" customHeight="1">
      <c r="A66" s="282"/>
      <c r="B66" s="282">
        <v>49</v>
      </c>
      <c r="C66" s="280"/>
      <c r="D66" s="315"/>
      <c r="E66" s="280"/>
      <c r="F66" s="280"/>
      <c r="G66" s="280"/>
      <c r="H66" s="299"/>
      <c r="I66" s="337">
        <f t="shared" si="7"/>
        <v>0</v>
      </c>
      <c r="J66" s="337">
        <f t="shared" si="8"/>
        <v>0</v>
      </c>
      <c r="K66" s="337">
        <f t="shared" si="9"/>
        <v>0</v>
      </c>
      <c r="L66" s="281" t="str">
        <f t="shared" si="10"/>
        <v/>
      </c>
      <c r="M66" s="281" t="str">
        <f t="shared" si="11"/>
        <v/>
      </c>
      <c r="N66" s="281" t="str">
        <f t="shared" si="12"/>
        <v/>
      </c>
      <c r="O66" s="315"/>
      <c r="P66" s="315" t="s">
        <v>2082</v>
      </c>
      <c r="Q66" s="315"/>
      <c r="R66" s="315"/>
      <c r="S66" s="315"/>
      <c r="T66" s="280"/>
      <c r="U66" s="280" t="s">
        <v>2167</v>
      </c>
      <c r="V66" s="280"/>
      <c r="W66" s="280"/>
      <c r="X66" s="280"/>
      <c r="Y66" s="335"/>
      <c r="Z66" s="280"/>
      <c r="AA66" s="281"/>
      <c r="AB66" s="280"/>
      <c r="AC66" s="280"/>
      <c r="AD66" s="280"/>
    </row>
    <row r="67" spans="1:30" ht="27" customHeight="1">
      <c r="A67" s="282"/>
      <c r="B67" s="282">
        <v>50</v>
      </c>
      <c r="C67" s="280"/>
      <c r="D67" s="315"/>
      <c r="E67" s="280"/>
      <c r="F67" s="280"/>
      <c r="G67" s="280"/>
      <c r="H67" s="299"/>
      <c r="I67" s="337">
        <f t="shared" si="7"/>
        <v>0</v>
      </c>
      <c r="J67" s="337">
        <f t="shared" si="8"/>
        <v>0</v>
      </c>
      <c r="K67" s="337">
        <f t="shared" si="9"/>
        <v>0</v>
      </c>
      <c r="L67" s="281" t="str">
        <f t="shared" si="10"/>
        <v/>
      </c>
      <c r="M67" s="281" t="str">
        <f t="shared" si="11"/>
        <v/>
      </c>
      <c r="N67" s="281" t="str">
        <f t="shared" si="12"/>
        <v/>
      </c>
      <c r="O67" s="315"/>
      <c r="P67" s="315" t="s">
        <v>2168</v>
      </c>
      <c r="Q67" s="315"/>
      <c r="R67" s="315"/>
      <c r="S67" s="315"/>
      <c r="T67" s="280"/>
      <c r="U67" s="280" t="s">
        <v>2169</v>
      </c>
      <c r="V67" s="280"/>
      <c r="W67" s="280"/>
      <c r="X67" s="280"/>
      <c r="Y67" s="335"/>
      <c r="Z67" s="280"/>
      <c r="AA67" s="281"/>
      <c r="AB67" s="280"/>
      <c r="AC67" s="280"/>
      <c r="AD67" s="280"/>
    </row>
    <row r="68" spans="1:30" ht="27" customHeight="1">
      <c r="A68" s="282"/>
      <c r="B68" s="282">
        <v>51</v>
      </c>
      <c r="C68" s="280"/>
      <c r="D68" s="315"/>
      <c r="E68" s="280"/>
      <c r="F68" s="280"/>
      <c r="G68" s="280"/>
      <c r="H68" s="299"/>
      <c r="I68" s="337">
        <f t="shared" si="7"/>
        <v>0</v>
      </c>
      <c r="J68" s="337">
        <f t="shared" si="8"/>
        <v>0</v>
      </c>
      <c r="K68" s="337">
        <f t="shared" si="9"/>
        <v>0</v>
      </c>
      <c r="L68" s="281" t="str">
        <f t="shared" si="10"/>
        <v/>
      </c>
      <c r="M68" s="281" t="str">
        <f t="shared" si="11"/>
        <v/>
      </c>
      <c r="N68" s="281" t="str">
        <f t="shared" si="12"/>
        <v/>
      </c>
      <c r="O68" s="315"/>
      <c r="P68" s="315" t="s">
        <v>2170</v>
      </c>
      <c r="Q68" s="315"/>
      <c r="R68" s="315"/>
      <c r="S68" s="315"/>
      <c r="T68" s="280"/>
      <c r="U68" s="280" t="s">
        <v>2171</v>
      </c>
      <c r="V68" s="280"/>
      <c r="W68" s="280"/>
      <c r="X68" s="280"/>
      <c r="Y68" s="335"/>
      <c r="Z68" s="280"/>
      <c r="AA68" s="281"/>
      <c r="AB68" s="280"/>
      <c r="AC68" s="280"/>
      <c r="AD68" s="280"/>
    </row>
    <row r="69" spans="1:30" ht="9" customHeight="1">
      <c r="A69" s="282"/>
      <c r="B69" s="282">
        <v>52</v>
      </c>
      <c r="C69" s="280"/>
      <c r="D69" s="315" t="s">
        <v>2172</v>
      </c>
      <c r="E69" s="280"/>
      <c r="F69" s="280"/>
      <c r="G69" s="280"/>
      <c r="H69" s="299"/>
      <c r="I69" s="337">
        <f t="shared" si="7"/>
        <v>0</v>
      </c>
      <c r="J69" s="337">
        <f t="shared" si="8"/>
        <v>0</v>
      </c>
      <c r="K69" s="337">
        <f t="shared" si="9"/>
        <v>0</v>
      </c>
      <c r="L69" s="281" t="str">
        <f t="shared" si="10"/>
        <v/>
      </c>
      <c r="M69" s="281" t="str">
        <f t="shared" si="11"/>
        <v/>
      </c>
      <c r="N69" s="281" t="str">
        <f t="shared" si="12"/>
        <v/>
      </c>
      <c r="O69" s="315"/>
      <c r="P69" s="315" t="s">
        <v>155</v>
      </c>
      <c r="Q69" s="315"/>
      <c r="R69" s="315"/>
      <c r="S69" s="315"/>
      <c r="T69" s="280"/>
      <c r="U69" s="280" t="s">
        <v>2173</v>
      </c>
      <c r="V69" s="280"/>
      <c r="W69" s="280"/>
      <c r="X69" s="280"/>
      <c r="Y69" s="335"/>
      <c r="Z69" s="280"/>
      <c r="AA69" s="281"/>
      <c r="AB69" s="280"/>
      <c r="AC69" s="280"/>
      <c r="AD69" s="280"/>
    </row>
    <row r="70" spans="1:30" ht="27" customHeight="1">
      <c r="A70" s="282"/>
      <c r="B70" s="282">
        <v>53</v>
      </c>
      <c r="C70" s="280"/>
      <c r="D70" s="315"/>
      <c r="E70" s="280" t="s">
        <v>2157</v>
      </c>
      <c r="F70" s="280"/>
      <c r="G70" s="280"/>
      <c r="H70" s="299"/>
      <c r="I70" s="337">
        <f t="shared" si="7"/>
        <v>0</v>
      </c>
      <c r="J70" s="337">
        <f t="shared" si="8"/>
        <v>0</v>
      </c>
      <c r="K70" s="337">
        <f t="shared" si="9"/>
        <v>0</v>
      </c>
      <c r="L70" s="281" t="str">
        <f t="shared" si="10"/>
        <v/>
      </c>
      <c r="M70" s="281" t="str">
        <f t="shared" si="11"/>
        <v/>
      </c>
      <c r="N70" s="281" t="str">
        <f t="shared" si="12"/>
        <v/>
      </c>
      <c r="O70" s="315"/>
      <c r="P70" s="315"/>
      <c r="Q70" s="315" t="s">
        <v>93</v>
      </c>
      <c r="R70" s="315"/>
      <c r="S70" s="315"/>
      <c r="T70" s="280"/>
      <c r="U70" s="280"/>
      <c r="V70" s="280" t="s">
        <v>2174</v>
      </c>
      <c r="W70" s="280"/>
      <c r="X70" s="280"/>
      <c r="Y70" s="335"/>
      <c r="Z70" s="280"/>
      <c r="AA70" s="281"/>
      <c r="AB70" s="280"/>
      <c r="AC70" s="280"/>
      <c r="AD70" s="280"/>
    </row>
    <row r="71" spans="1:30" ht="36" customHeight="1">
      <c r="A71" s="282"/>
      <c r="B71" s="282">
        <v>54</v>
      </c>
      <c r="C71" s="280"/>
      <c r="D71" s="315"/>
      <c r="E71" s="280" t="s">
        <v>2159</v>
      </c>
      <c r="F71" s="280"/>
      <c r="G71" s="280"/>
      <c r="H71" s="299"/>
      <c r="I71" s="337">
        <f t="shared" si="7"/>
        <v>0</v>
      </c>
      <c r="J71" s="337">
        <f t="shared" si="8"/>
        <v>0</v>
      </c>
      <c r="K71" s="337">
        <f t="shared" si="9"/>
        <v>0</v>
      </c>
      <c r="L71" s="281" t="str">
        <f t="shared" si="10"/>
        <v/>
      </c>
      <c r="M71" s="281" t="str">
        <f t="shared" si="11"/>
        <v/>
      </c>
      <c r="N71" s="281" t="str">
        <f t="shared" si="12"/>
        <v/>
      </c>
      <c r="O71" s="315"/>
      <c r="P71" s="315"/>
      <c r="Q71" s="315" t="s">
        <v>113</v>
      </c>
      <c r="R71" s="315"/>
      <c r="S71" s="315"/>
      <c r="T71" s="280"/>
      <c r="U71" s="280"/>
      <c r="V71" s="280" t="s">
        <v>2175</v>
      </c>
      <c r="W71" s="280"/>
      <c r="X71" s="280"/>
      <c r="Y71" s="335"/>
      <c r="Z71" s="280"/>
      <c r="AA71" s="281"/>
      <c r="AB71" s="280"/>
      <c r="AC71" s="280"/>
      <c r="AD71" s="280"/>
    </row>
    <row r="72" spans="1:30" ht="27" customHeight="1">
      <c r="A72" s="282"/>
      <c r="B72" s="282">
        <v>55</v>
      </c>
      <c r="C72" s="280"/>
      <c r="D72" s="315"/>
      <c r="E72" s="280" t="s">
        <v>2161</v>
      </c>
      <c r="F72" s="280"/>
      <c r="G72" s="280"/>
      <c r="H72" s="299"/>
      <c r="I72" s="337">
        <f t="shared" si="7"/>
        <v>0</v>
      </c>
      <c r="J72" s="337">
        <f t="shared" si="8"/>
        <v>0</v>
      </c>
      <c r="K72" s="337">
        <f t="shared" si="9"/>
        <v>0</v>
      </c>
      <c r="L72" s="281" t="str">
        <f t="shared" si="10"/>
        <v/>
      </c>
      <c r="M72" s="281" t="str">
        <f t="shared" si="11"/>
        <v/>
      </c>
      <c r="N72" s="281" t="str">
        <f t="shared" si="12"/>
        <v/>
      </c>
      <c r="O72" s="315"/>
      <c r="P72" s="315"/>
      <c r="Q72" s="315" t="s">
        <v>153</v>
      </c>
      <c r="R72" s="315"/>
      <c r="S72" s="315"/>
      <c r="T72" s="280"/>
      <c r="U72" s="280"/>
      <c r="V72" s="280" t="s">
        <v>2176</v>
      </c>
      <c r="W72" s="280"/>
      <c r="X72" s="280"/>
      <c r="Y72" s="335"/>
      <c r="Z72" s="280"/>
      <c r="AA72" s="281"/>
      <c r="AB72" s="280"/>
      <c r="AC72" s="280"/>
      <c r="AD72" s="280"/>
    </row>
    <row r="73" spans="1:30" ht="36" customHeight="1">
      <c r="A73" s="282"/>
      <c r="B73" s="282">
        <v>56</v>
      </c>
      <c r="C73" s="280"/>
      <c r="D73" s="315"/>
      <c r="E73" s="280" t="s">
        <v>2163</v>
      </c>
      <c r="F73" s="280"/>
      <c r="G73" s="280"/>
      <c r="H73" s="299"/>
      <c r="I73" s="337">
        <f t="shared" si="7"/>
        <v>0</v>
      </c>
      <c r="J73" s="337">
        <f t="shared" si="8"/>
        <v>0</v>
      </c>
      <c r="K73" s="337">
        <f t="shared" si="9"/>
        <v>0</v>
      </c>
      <c r="L73" s="281" t="str">
        <f t="shared" si="10"/>
        <v/>
      </c>
      <c r="M73" s="281" t="str">
        <f t="shared" si="11"/>
        <v/>
      </c>
      <c r="N73" s="281" t="str">
        <f t="shared" si="12"/>
        <v/>
      </c>
      <c r="O73" s="315"/>
      <c r="P73" s="315"/>
      <c r="Q73" s="315" t="s">
        <v>154</v>
      </c>
      <c r="R73" s="315"/>
      <c r="S73" s="315"/>
      <c r="T73" s="280"/>
      <c r="U73" s="280"/>
      <c r="V73" s="280" t="s">
        <v>2177</v>
      </c>
      <c r="W73" s="280"/>
      <c r="X73" s="280"/>
      <c r="Y73" s="335"/>
      <c r="Z73" s="280"/>
      <c r="AA73" s="281"/>
      <c r="AB73" s="280"/>
      <c r="AC73" s="280"/>
      <c r="AD73" s="280"/>
    </row>
    <row r="74" spans="1:30" ht="18" customHeight="1">
      <c r="A74" s="282"/>
      <c r="B74" s="282">
        <v>57</v>
      </c>
      <c r="C74" s="280"/>
      <c r="D74" s="315"/>
      <c r="E74" s="280" t="s">
        <v>2172</v>
      </c>
      <c r="F74" s="280"/>
      <c r="G74" s="280"/>
      <c r="H74" s="299"/>
      <c r="I74" s="337">
        <f t="shared" si="7"/>
        <v>0</v>
      </c>
      <c r="J74" s="337">
        <f t="shared" si="8"/>
        <v>0</v>
      </c>
      <c r="K74" s="337">
        <f t="shared" si="9"/>
        <v>0</v>
      </c>
      <c r="L74" s="281" t="str">
        <f t="shared" si="10"/>
        <v/>
      </c>
      <c r="M74" s="281" t="str">
        <f t="shared" si="11"/>
        <v/>
      </c>
      <c r="N74" s="281" t="str">
        <f t="shared" si="12"/>
        <v/>
      </c>
      <c r="O74" s="315"/>
      <c r="P74" s="315"/>
      <c r="Q74" s="315" t="s">
        <v>155</v>
      </c>
      <c r="R74" s="315"/>
      <c r="S74" s="315"/>
      <c r="T74" s="280"/>
      <c r="U74" s="280"/>
      <c r="V74" s="280" t="s">
        <v>2178</v>
      </c>
      <c r="W74" s="280"/>
      <c r="X74" s="280"/>
      <c r="Y74" s="335"/>
      <c r="Z74" s="280"/>
      <c r="AA74" s="281"/>
      <c r="AB74" s="280"/>
      <c r="AC74" s="280"/>
      <c r="AD74" s="280"/>
    </row>
    <row r="75" spans="1:30" ht="18" customHeight="1">
      <c r="A75" s="282"/>
      <c r="B75" s="282">
        <v>58</v>
      </c>
      <c r="C75" s="280"/>
      <c r="D75" s="315"/>
      <c r="E75" s="280"/>
      <c r="F75" s="280" t="s">
        <v>2157</v>
      </c>
      <c r="G75" s="280"/>
      <c r="H75" s="299"/>
      <c r="I75" s="337">
        <f t="shared" si="7"/>
        <v>0</v>
      </c>
      <c r="J75" s="337">
        <f t="shared" si="8"/>
        <v>0</v>
      </c>
      <c r="K75" s="337">
        <f t="shared" si="9"/>
        <v>0</v>
      </c>
      <c r="L75" s="281" t="str">
        <f t="shared" si="10"/>
        <v/>
      </c>
      <c r="M75" s="281" t="str">
        <f t="shared" si="11"/>
        <v/>
      </c>
      <c r="N75" s="281" t="str">
        <f t="shared" si="12"/>
        <v/>
      </c>
      <c r="O75" s="315"/>
      <c r="P75" s="315"/>
      <c r="Q75" s="315"/>
      <c r="R75" s="315" t="s">
        <v>93</v>
      </c>
      <c r="S75" s="315"/>
      <c r="T75" s="280"/>
      <c r="U75" s="280"/>
      <c r="V75" s="280"/>
      <c r="W75" s="280" t="s">
        <v>2179</v>
      </c>
      <c r="X75" s="280"/>
      <c r="Y75" s="335"/>
      <c r="Z75" s="280"/>
      <c r="AA75" s="281"/>
      <c r="AB75" s="280"/>
      <c r="AC75" s="280"/>
      <c r="AD75" s="280"/>
    </row>
    <row r="76" spans="1:30" ht="36" customHeight="1">
      <c r="A76" s="282"/>
      <c r="B76" s="282">
        <v>59</v>
      </c>
      <c r="C76" s="280"/>
      <c r="D76" s="315"/>
      <c r="E76" s="280"/>
      <c r="F76" s="280" t="s">
        <v>2159</v>
      </c>
      <c r="G76" s="280"/>
      <c r="H76" s="299"/>
      <c r="I76" s="337">
        <f t="shared" si="7"/>
        <v>0</v>
      </c>
      <c r="J76" s="337">
        <f t="shared" si="8"/>
        <v>0</v>
      </c>
      <c r="K76" s="337">
        <f t="shared" si="9"/>
        <v>0</v>
      </c>
      <c r="L76" s="281" t="str">
        <f t="shared" si="10"/>
        <v/>
      </c>
      <c r="M76" s="281" t="str">
        <f t="shared" si="11"/>
        <v/>
      </c>
      <c r="N76" s="281" t="str">
        <f t="shared" si="12"/>
        <v/>
      </c>
      <c r="O76" s="315"/>
      <c r="P76" s="315"/>
      <c r="Q76" s="315"/>
      <c r="R76" s="315" t="s">
        <v>113</v>
      </c>
      <c r="S76" s="315"/>
      <c r="T76" s="280"/>
      <c r="U76" s="280"/>
      <c r="V76" s="280"/>
      <c r="W76" s="280" t="s">
        <v>2180</v>
      </c>
      <c r="X76" s="280"/>
      <c r="Y76" s="335"/>
      <c r="Z76" s="280"/>
      <c r="AA76" s="281"/>
      <c r="AB76" s="280"/>
      <c r="AC76" s="280"/>
      <c r="AD76" s="280"/>
    </row>
    <row r="77" spans="1:30" ht="18" customHeight="1">
      <c r="A77" s="282"/>
      <c r="B77" s="282">
        <v>60</v>
      </c>
      <c r="C77" s="280"/>
      <c r="D77" s="315"/>
      <c r="E77" s="280"/>
      <c r="F77" s="280" t="s">
        <v>2161</v>
      </c>
      <c r="G77" s="280"/>
      <c r="H77" s="299"/>
      <c r="I77" s="337">
        <f t="shared" si="7"/>
        <v>0</v>
      </c>
      <c r="J77" s="337">
        <f t="shared" si="8"/>
        <v>0</v>
      </c>
      <c r="K77" s="337">
        <f t="shared" si="9"/>
        <v>0</v>
      </c>
      <c r="L77" s="281" t="str">
        <f t="shared" si="10"/>
        <v/>
      </c>
      <c r="M77" s="281" t="str">
        <f t="shared" si="11"/>
        <v/>
      </c>
      <c r="N77" s="281" t="str">
        <f t="shared" si="12"/>
        <v/>
      </c>
      <c r="O77" s="315"/>
      <c r="P77" s="315"/>
      <c r="Q77" s="315"/>
      <c r="R77" s="315" t="s">
        <v>153</v>
      </c>
      <c r="S77" s="315"/>
      <c r="T77" s="280"/>
      <c r="U77" s="280"/>
      <c r="V77" s="280"/>
      <c r="W77" s="280" t="s">
        <v>2181</v>
      </c>
      <c r="X77" s="280"/>
      <c r="Y77" s="335"/>
      <c r="Z77" s="280"/>
      <c r="AA77" s="281"/>
      <c r="AB77" s="280"/>
      <c r="AC77" s="280"/>
      <c r="AD77" s="280"/>
    </row>
    <row r="78" spans="1:30" ht="72" customHeight="1">
      <c r="A78" s="282"/>
      <c r="B78" s="282">
        <v>61</v>
      </c>
      <c r="C78" s="280" t="s">
        <v>2157</v>
      </c>
      <c r="D78" s="315"/>
      <c r="E78" s="280"/>
      <c r="F78" s="280"/>
      <c r="G78" s="280"/>
      <c r="H78" s="299"/>
      <c r="I78" s="337" t="str">
        <f t="shared" si="7"/>
        <v>7</v>
      </c>
      <c r="J78" s="337" t="str">
        <f t="shared" si="8"/>
        <v>Установленная тепловая мощность объектов основных фондов, используемых для теплоснабжения, в том числе по каждому источнику тепловой энергии</v>
      </c>
      <c r="K78" s="337" t="str">
        <f t="shared" si="9"/>
        <v>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v>
      </c>
      <c r="L78" s="281" t="str">
        <f t="shared" si="10"/>
        <v>7</v>
      </c>
      <c r="M78" s="281" t="str">
        <f t="shared" si="11"/>
        <v>Установленная тепловая мощность объектов основных фондов, используемых для теплоснабжения, в том числе по каждому источнику тепловой энергии</v>
      </c>
      <c r="N78" s="281" t="str">
        <f t="shared" si="12"/>
        <v>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v>
      </c>
      <c r="O78" s="315" t="s">
        <v>93</v>
      </c>
      <c r="P78" s="315"/>
      <c r="Q78" s="315"/>
      <c r="R78" s="315"/>
      <c r="S78" s="315"/>
      <c r="T78" s="280" t="s">
        <v>638</v>
      </c>
      <c r="U78" s="280"/>
      <c r="V78" s="280"/>
      <c r="W78" s="280"/>
      <c r="X78" s="280"/>
      <c r="Y78" s="335"/>
      <c r="Z78" s="280" t="s">
        <v>2182</v>
      </c>
      <c r="AA78" s="281"/>
      <c r="AB78" s="280"/>
      <c r="AC78" s="280"/>
      <c r="AD78" s="280"/>
    </row>
    <row r="79" spans="1:30" ht="36" customHeight="1">
      <c r="A79" s="282"/>
      <c r="B79" s="282">
        <v>62</v>
      </c>
      <c r="C79" s="280" t="s">
        <v>2159</v>
      </c>
      <c r="D79" s="315"/>
      <c r="E79" s="280"/>
      <c r="F79" s="280"/>
      <c r="G79" s="280"/>
      <c r="H79" s="299"/>
      <c r="I79" s="337" t="str">
        <f t="shared" si="7"/>
        <v>8</v>
      </c>
      <c r="J79" s="337" t="str">
        <f t="shared" si="8"/>
        <v>Тепловая нагрузка по договорам, заключенным в рамках осуществления регулируемых видов деятельности</v>
      </c>
      <c r="K79" s="337" t="str">
        <f t="shared" si="9"/>
        <v>Регулируемыми организациями указывается информация по договорам, заключенным в рамках осуществления регулируемых видов деятельности</v>
      </c>
      <c r="L79" s="281" t="str">
        <f t="shared" si="10"/>
        <v>8</v>
      </c>
      <c r="M79" s="281" t="str">
        <f t="shared" si="11"/>
        <v>Тепловая нагрузка по договорам, заключенным в рамках осуществления регулируемых видов деятельности</v>
      </c>
      <c r="N79" s="281" t="str">
        <f t="shared" si="12"/>
        <v>Регулируемыми организациями указывается информация по договорам, заключенным в рамках осуществления регулируемых видов деятельности</v>
      </c>
      <c r="O79" s="315" t="s">
        <v>113</v>
      </c>
      <c r="P79" s="315"/>
      <c r="Q79" s="315"/>
      <c r="R79" s="315"/>
      <c r="S79" s="315"/>
      <c r="T79" s="280" t="s">
        <v>2183</v>
      </c>
      <c r="U79" s="280"/>
      <c r="V79" s="280"/>
      <c r="W79" s="280"/>
      <c r="X79" s="280"/>
      <c r="Y79" s="335"/>
      <c r="Z79" s="280" t="s">
        <v>2184</v>
      </c>
      <c r="AA79" s="281"/>
      <c r="AB79" s="280"/>
      <c r="AC79" s="280"/>
      <c r="AD79" s="280"/>
    </row>
    <row r="80" spans="1:30" ht="45" customHeight="1">
      <c r="A80" s="282"/>
      <c r="B80" s="282">
        <v>63</v>
      </c>
      <c r="C80" s="280" t="s">
        <v>2161</v>
      </c>
      <c r="D80" s="315"/>
      <c r="E80" s="280"/>
      <c r="F80" s="280"/>
      <c r="G80" s="280"/>
      <c r="H80" s="299"/>
      <c r="I80" s="337" t="str">
        <f t="shared" si="7"/>
        <v>9</v>
      </c>
      <c r="J80" s="337" t="str">
        <f t="shared" si="8"/>
        <v>Объем вырабатываемой регулируемой организацией тепловой энергии в рамках осуществления регулируемых видов деятельности</v>
      </c>
      <c r="K80" s="337" t="str">
        <f t="shared" si="9"/>
        <v>Регулируемыми организациями указывается информация тепловой энергии, выработанной в рамках осуществления регулируемых видов деятельности.</v>
      </c>
      <c r="L80" s="281" t="str">
        <f t="shared" si="10"/>
        <v>9</v>
      </c>
      <c r="M80" s="281" t="str">
        <f t="shared" si="11"/>
        <v>Объем вырабатываемой регулируемой организацией тепловой энергии в рамках осуществления регулируемых видов деятельности</v>
      </c>
      <c r="N80" s="281" t="str">
        <f t="shared" si="12"/>
        <v>Регулируемыми организациями указывается информация тепловой энергии, выработанной в рамках осуществления регулируемых видов деятельности.</v>
      </c>
      <c r="O80" s="315" t="s">
        <v>153</v>
      </c>
      <c r="P80" s="315"/>
      <c r="Q80" s="315"/>
      <c r="R80" s="315"/>
      <c r="S80" s="315"/>
      <c r="T80" s="280" t="s">
        <v>2185</v>
      </c>
      <c r="U80" s="280"/>
      <c r="V80" s="280"/>
      <c r="W80" s="280"/>
      <c r="X80" s="280"/>
      <c r="Y80" s="335"/>
      <c r="Z80" s="280" t="s">
        <v>2186</v>
      </c>
      <c r="AA80" s="281"/>
      <c r="AB80" s="280"/>
      <c r="AC80" s="280"/>
      <c r="AD80" s="280"/>
    </row>
    <row r="81" spans="1:30" ht="36" customHeight="1">
      <c r="A81" s="282"/>
      <c r="B81" s="282">
        <v>64</v>
      </c>
      <c r="C81" s="280" t="s">
        <v>2163</v>
      </c>
      <c r="D81" s="315"/>
      <c r="E81" s="280"/>
      <c r="F81" s="280"/>
      <c r="G81" s="280"/>
      <c r="H81" s="299"/>
      <c r="I81" s="337" t="str">
        <f t="shared" si="7"/>
        <v>9.1</v>
      </c>
      <c r="J81" s="337" t="str">
        <f t="shared" si="8"/>
        <v>Объем приобретаемой регулируемой организацией тепловой энергии в рамках осуществления регулируемых видов деятельности</v>
      </c>
      <c r="K81" s="337" t="str">
        <f t="shared" si="9"/>
        <v>Информация указывается только едиными теплоснабжающими организациями.</v>
      </c>
      <c r="L81" s="281" t="str">
        <f t="shared" si="10"/>
        <v>9.1</v>
      </c>
      <c r="M81" s="281" t="str">
        <f t="shared" si="11"/>
        <v>Объем приобретаемой регулируемой организацией тепловой энергии в рамках осуществления регулируемых видов деятельности</v>
      </c>
      <c r="N81" s="281" t="str">
        <f t="shared" si="12"/>
        <v>Информация указывается только едиными теплоснабжающими организациями.</v>
      </c>
      <c r="O81" s="315" t="s">
        <v>2069</v>
      </c>
      <c r="P81" s="315"/>
      <c r="Q81" s="315"/>
      <c r="R81" s="315"/>
      <c r="S81" s="315"/>
      <c r="T81" s="280" t="s">
        <v>2187</v>
      </c>
      <c r="U81" s="280"/>
      <c r="V81" s="280"/>
      <c r="W81" s="280"/>
      <c r="X81" s="280"/>
      <c r="Y81" s="335"/>
      <c r="Z81" s="280" t="s">
        <v>2188</v>
      </c>
      <c r="AA81" s="281"/>
      <c r="AB81" s="280"/>
      <c r="AC81" s="280"/>
      <c r="AD81" s="280"/>
    </row>
    <row r="82" spans="1:30" ht="90" customHeight="1">
      <c r="A82" s="282"/>
      <c r="B82" s="282">
        <v>65</v>
      </c>
      <c r="C82" s="280" t="s">
        <v>2172</v>
      </c>
      <c r="D82" s="315"/>
      <c r="E82" s="280"/>
      <c r="F82" s="280"/>
      <c r="G82" s="280"/>
      <c r="H82" s="299"/>
      <c r="I82" s="337" t="str">
        <f t="shared" ref="I82:I101" si="13">INDEX(TEMPLATE_NUMBER_POINT_FHD,B82,MATCH(TEMPLATE_SPHERE,TEMPLATE_SPHERE_LIST_FOR_NOTE,0))</f>
        <v>10</v>
      </c>
      <c r="J82" s="337" t="str">
        <f t="shared" ref="J82:J101" si="14">INDEX(TEMPLATE_DATA_POINT_FHD,B82,MATCH(TEMPLATE_SPHERE,TEMPLATE_SPHERE_LIST_FOR_NOTE,0))</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K82" s="337" t="str">
        <f t="shared" ref="K82:K101" si="15">INDEX(TEMPLATE_NOTE_POINT_FHD,B82,MATCH(TEMPLATE_SPHERE,TEMPLATE_SPHERE_LIST_FOR_NOTE,0))</f>
        <v>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L82" s="281" t="str">
        <f t="shared" ref="L82:L101" si="16">IF(I82=0,"",I82)</f>
        <v>10</v>
      </c>
      <c r="M82" s="281" t="str">
        <f t="shared" ref="M82:M101" si="17">IF(J82=0,"",J82)</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N82" s="281" t="str">
        <f t="shared" ref="N82:N101" si="18">IF(K82=0,"",K82)</f>
        <v>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O82" s="315" t="s">
        <v>154</v>
      </c>
      <c r="P82" s="315"/>
      <c r="Q82" s="315"/>
      <c r="R82" s="315"/>
      <c r="S82" s="315"/>
      <c r="T82" s="280" t="s">
        <v>2189</v>
      </c>
      <c r="U82" s="280"/>
      <c r="V82" s="280"/>
      <c r="W82" s="280"/>
      <c r="X82" s="280"/>
      <c r="Y82" s="335"/>
      <c r="Z82" s="280" t="s">
        <v>2190</v>
      </c>
      <c r="AA82" s="281"/>
      <c r="AB82" s="280"/>
      <c r="AC82" s="280"/>
      <c r="AD82" s="280"/>
    </row>
    <row r="83" spans="1:30" ht="9" customHeight="1">
      <c r="A83" s="282"/>
      <c r="B83" s="282">
        <v>66</v>
      </c>
      <c r="C83" s="280"/>
      <c r="D83" s="315"/>
      <c r="E83" s="280"/>
      <c r="F83" s="280"/>
      <c r="G83" s="280"/>
      <c r="H83" s="299"/>
      <c r="I83" s="337" t="str">
        <f t="shared" si="13"/>
        <v>10.1</v>
      </c>
      <c r="J83" s="337" t="str">
        <f t="shared" si="14"/>
        <v xml:space="preserve">По приборам учёта </v>
      </c>
      <c r="K83" s="337">
        <f t="shared" si="15"/>
        <v>0</v>
      </c>
      <c r="L83" s="281" t="str">
        <f t="shared" si="16"/>
        <v>10.1</v>
      </c>
      <c r="M83" s="281" t="str">
        <f t="shared" si="17"/>
        <v xml:space="preserve">По приборам учёта </v>
      </c>
      <c r="N83" s="281" t="str">
        <f t="shared" si="18"/>
        <v/>
      </c>
      <c r="O83" s="315" t="s">
        <v>2078</v>
      </c>
      <c r="P83" s="315"/>
      <c r="Q83" s="315"/>
      <c r="R83" s="315"/>
      <c r="S83" s="315"/>
      <c r="T83" s="280" t="s">
        <v>2191</v>
      </c>
      <c r="U83" s="280"/>
      <c r="V83" s="280"/>
      <c r="W83" s="280"/>
      <c r="X83" s="280"/>
      <c r="Y83" s="335"/>
      <c r="Z83" s="280"/>
      <c r="AA83" s="281"/>
      <c r="AB83" s="280"/>
      <c r="AC83" s="280"/>
      <c r="AD83" s="280"/>
    </row>
    <row r="84" spans="1:30" ht="54" customHeight="1">
      <c r="A84" s="282"/>
      <c r="B84" s="282">
        <v>67</v>
      </c>
      <c r="C84" s="280"/>
      <c r="D84" s="315"/>
      <c r="E84" s="280"/>
      <c r="F84" s="280"/>
      <c r="G84" s="280"/>
      <c r="H84" s="299"/>
      <c r="I84" s="337" t="str">
        <f t="shared" si="13"/>
        <v>10.1.1</v>
      </c>
      <c r="J84" s="337" t="str">
        <f t="shared" si="14"/>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K84" s="337">
        <f t="shared" si="15"/>
        <v>0</v>
      </c>
      <c r="L84" s="281" t="str">
        <f t="shared" si="16"/>
        <v>10.1.1</v>
      </c>
      <c r="M84" s="281" t="str">
        <f t="shared" si="17"/>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N84" s="281" t="str">
        <f t="shared" si="18"/>
        <v/>
      </c>
      <c r="O84" s="315" t="s">
        <v>2192</v>
      </c>
      <c r="P84" s="315"/>
      <c r="Q84" s="315"/>
      <c r="R84" s="315"/>
      <c r="S84" s="315"/>
      <c r="T84" s="280" t="s">
        <v>2193</v>
      </c>
      <c r="U84" s="280"/>
      <c r="V84" s="280"/>
      <c r="W84" s="280"/>
      <c r="X84" s="280"/>
      <c r="Y84" s="335"/>
      <c r="Z84" s="280"/>
      <c r="AA84" s="281"/>
      <c r="AB84" s="280"/>
      <c r="AC84" s="280"/>
      <c r="AD84" s="280"/>
    </row>
    <row r="85" spans="1:30" ht="9" customHeight="1">
      <c r="A85" s="282"/>
      <c r="B85" s="282">
        <v>68</v>
      </c>
      <c r="C85" s="280"/>
      <c r="D85" s="315"/>
      <c r="E85" s="280"/>
      <c r="F85" s="280"/>
      <c r="G85" s="280"/>
      <c r="H85" s="299"/>
      <c r="I85" s="337" t="str">
        <f t="shared" si="13"/>
        <v>10.2</v>
      </c>
      <c r="J85" s="337" t="str">
        <f t="shared" si="14"/>
        <v>Расчётным путём</v>
      </c>
      <c r="K85" s="337">
        <f t="shared" si="15"/>
        <v>0</v>
      </c>
      <c r="L85" s="281" t="str">
        <f t="shared" si="16"/>
        <v>10.2</v>
      </c>
      <c r="M85" s="281" t="str">
        <f t="shared" si="17"/>
        <v>Расчётным путём</v>
      </c>
      <c r="N85" s="281" t="str">
        <f t="shared" si="18"/>
        <v/>
      </c>
      <c r="O85" s="315" t="s">
        <v>2082</v>
      </c>
      <c r="P85" s="315"/>
      <c r="Q85" s="315"/>
      <c r="R85" s="315"/>
      <c r="S85" s="315"/>
      <c r="T85" s="280" t="s">
        <v>2194</v>
      </c>
      <c r="U85" s="280"/>
      <c r="V85" s="280"/>
      <c r="W85" s="280"/>
      <c r="X85" s="280"/>
      <c r="Y85" s="335"/>
      <c r="Z85" s="280"/>
      <c r="AA85" s="281"/>
      <c r="AB85" s="280"/>
      <c r="AC85" s="280"/>
      <c r="AD85" s="280"/>
    </row>
    <row r="86" spans="1:30" ht="27" customHeight="1">
      <c r="A86" s="282"/>
      <c r="B86" s="282">
        <v>69</v>
      </c>
      <c r="C86" s="280"/>
      <c r="D86" s="315"/>
      <c r="E86" s="280"/>
      <c r="F86" s="280"/>
      <c r="G86" s="280"/>
      <c r="H86" s="299"/>
      <c r="I86" s="337" t="str">
        <f t="shared" si="13"/>
        <v>10.3</v>
      </c>
      <c r="J86" s="337" t="str">
        <f t="shared" si="14"/>
        <v>По нормативам потребления коммунальных услуг и нормативам потребления коммунальных ресурсов</v>
      </c>
      <c r="K86" s="337">
        <f t="shared" si="15"/>
        <v>0</v>
      </c>
      <c r="L86" s="281" t="str">
        <f t="shared" si="16"/>
        <v>10.3</v>
      </c>
      <c r="M86" s="281" t="str">
        <f t="shared" si="17"/>
        <v>По нормативам потребления коммунальных услуг и нормативам потребления коммунальных ресурсов</v>
      </c>
      <c r="N86" s="281" t="str">
        <f t="shared" si="18"/>
        <v/>
      </c>
      <c r="O86" s="315" t="s">
        <v>2195</v>
      </c>
      <c r="P86" s="315"/>
      <c r="Q86" s="315"/>
      <c r="R86" s="315"/>
      <c r="S86" s="315"/>
      <c r="T86" s="280" t="s">
        <v>2196</v>
      </c>
      <c r="U86" s="280"/>
      <c r="V86" s="280"/>
      <c r="W86" s="280"/>
      <c r="X86" s="280"/>
      <c r="Y86" s="335"/>
      <c r="Z86" s="280"/>
      <c r="AA86" s="281"/>
      <c r="AB86" s="280"/>
      <c r="AC86" s="280"/>
      <c r="AD86" s="280"/>
    </row>
    <row r="87" spans="1:30" ht="36" customHeight="1">
      <c r="A87" s="282"/>
      <c r="B87" s="282">
        <v>70</v>
      </c>
      <c r="C87" s="280" t="s">
        <v>2197</v>
      </c>
      <c r="D87" s="315"/>
      <c r="E87" s="280"/>
      <c r="F87" s="280"/>
      <c r="G87" s="280"/>
      <c r="H87" s="299"/>
      <c r="I87" s="337" t="str">
        <f t="shared" si="13"/>
        <v>11</v>
      </c>
      <c r="J87" s="337" t="str">
        <f t="shared" si="14"/>
        <v>Нормативы технологических потерь при передаче тепловой энергии, теплоносителя по тепловым сетям, утвержденные уполномоченным органом</v>
      </c>
      <c r="K87" s="337">
        <f t="shared" si="15"/>
        <v>0</v>
      </c>
      <c r="L87" s="281" t="str">
        <f t="shared" si="16"/>
        <v>11</v>
      </c>
      <c r="M87" s="281" t="str">
        <f t="shared" si="17"/>
        <v>Нормативы технологических потерь при передаче тепловой энергии, теплоносителя по тепловым сетям, утвержденные уполномоченным органом</v>
      </c>
      <c r="N87" s="281" t="str">
        <f t="shared" si="18"/>
        <v/>
      </c>
      <c r="O87" s="315" t="s">
        <v>155</v>
      </c>
      <c r="P87" s="315"/>
      <c r="Q87" s="315"/>
      <c r="R87" s="315"/>
      <c r="S87" s="315"/>
      <c r="T87" s="280" t="s">
        <v>2198</v>
      </c>
      <c r="U87" s="280"/>
      <c r="V87" s="280"/>
      <c r="W87" s="280"/>
      <c r="X87" s="280"/>
      <c r="Y87" s="335"/>
      <c r="Z87" s="280"/>
      <c r="AA87" s="281"/>
      <c r="AB87" s="280"/>
      <c r="AC87" s="280"/>
      <c r="AD87" s="280"/>
    </row>
    <row r="88" spans="1:30" ht="18" customHeight="1">
      <c r="A88" s="282"/>
      <c r="B88" s="282">
        <v>71</v>
      </c>
      <c r="C88" s="280" t="s">
        <v>2199</v>
      </c>
      <c r="D88" s="315"/>
      <c r="E88" s="280"/>
      <c r="F88" s="280"/>
      <c r="G88" s="280"/>
      <c r="H88" s="299"/>
      <c r="I88" s="337" t="str">
        <f t="shared" si="13"/>
        <v>12</v>
      </c>
      <c r="J88" s="337" t="str">
        <f t="shared" si="14"/>
        <v>Фактический объем потерь при передаче тепловой энергии</v>
      </c>
      <c r="K88" s="337">
        <f t="shared" si="15"/>
        <v>0</v>
      </c>
      <c r="L88" s="281" t="str">
        <f t="shared" si="16"/>
        <v>12</v>
      </c>
      <c r="M88" s="281" t="str">
        <f t="shared" si="17"/>
        <v>Фактический объем потерь при передаче тепловой энергии</v>
      </c>
      <c r="N88" s="281" t="str">
        <f t="shared" si="18"/>
        <v/>
      </c>
      <c r="O88" s="315" t="s">
        <v>156</v>
      </c>
      <c r="P88" s="315"/>
      <c r="Q88" s="315"/>
      <c r="R88" s="315"/>
      <c r="S88" s="315"/>
      <c r="T88" s="280" t="s">
        <v>670</v>
      </c>
      <c r="U88" s="280"/>
      <c r="V88" s="280"/>
      <c r="W88" s="280"/>
      <c r="X88" s="280"/>
      <c r="Y88" s="335"/>
      <c r="Z88" s="280"/>
      <c r="AA88" s="281"/>
      <c r="AB88" s="280"/>
      <c r="AC88" s="280"/>
      <c r="AD88" s="280"/>
    </row>
    <row r="89" spans="1:30" ht="18" customHeight="1">
      <c r="A89" s="282"/>
      <c r="B89" s="282">
        <v>72</v>
      </c>
      <c r="C89" s="280" t="s">
        <v>2200</v>
      </c>
      <c r="D89" s="315" t="s">
        <v>2197</v>
      </c>
      <c r="E89" s="280" t="s">
        <v>2197</v>
      </c>
      <c r="F89" s="280" t="s">
        <v>2163</v>
      </c>
      <c r="G89" s="280"/>
      <c r="H89" s="299"/>
      <c r="I89" s="337" t="str">
        <f t="shared" si="13"/>
        <v>13</v>
      </c>
      <c r="J89" s="337" t="str">
        <f t="shared" si="14"/>
        <v>Среднесписочная численность основного производственного персонала</v>
      </c>
      <c r="K89" s="337">
        <f t="shared" si="15"/>
        <v>0</v>
      </c>
      <c r="L89" s="281" t="str">
        <f t="shared" si="16"/>
        <v>13</v>
      </c>
      <c r="M89" s="281" t="str">
        <f t="shared" si="17"/>
        <v>Среднесписочная численность основного производственного персонала</v>
      </c>
      <c r="N89" s="281" t="str">
        <f t="shared" si="18"/>
        <v/>
      </c>
      <c r="O89" s="315" t="s">
        <v>157</v>
      </c>
      <c r="P89" s="315" t="s">
        <v>156</v>
      </c>
      <c r="Q89" s="315" t="s">
        <v>156</v>
      </c>
      <c r="R89" s="315" t="s">
        <v>154</v>
      </c>
      <c r="S89" s="315"/>
      <c r="T89" s="280" t="s">
        <v>678</v>
      </c>
      <c r="U89" s="280" t="s">
        <v>678</v>
      </c>
      <c r="V89" s="280" t="s">
        <v>678</v>
      </c>
      <c r="W89" s="280" t="s">
        <v>678</v>
      </c>
      <c r="X89" s="280"/>
      <c r="Y89" s="335"/>
      <c r="Z89" s="280"/>
      <c r="AA89" s="281"/>
      <c r="AB89" s="280"/>
      <c r="AC89" s="280"/>
      <c r="AD89" s="280"/>
    </row>
    <row r="90" spans="1:30" ht="27" customHeight="1">
      <c r="A90" s="282"/>
      <c r="B90" s="282">
        <v>73</v>
      </c>
      <c r="C90" s="280" t="s">
        <v>2201</v>
      </c>
      <c r="D90" s="315"/>
      <c r="E90" s="280"/>
      <c r="F90" s="280"/>
      <c r="G90" s="280"/>
      <c r="H90" s="299"/>
      <c r="I90" s="337" t="str">
        <f t="shared" si="13"/>
        <v>14</v>
      </c>
      <c r="J90" s="337" t="str">
        <f t="shared" si="14"/>
        <v>Среднесписочная численность административно-управленческого персонала</v>
      </c>
      <c r="K90" s="337">
        <f t="shared" si="15"/>
        <v>0</v>
      </c>
      <c r="L90" s="281" t="str">
        <f t="shared" si="16"/>
        <v>14</v>
      </c>
      <c r="M90" s="281" t="str">
        <f t="shared" si="17"/>
        <v>Среднесписочная численность административно-управленческого персонала</v>
      </c>
      <c r="N90" s="281" t="str">
        <f t="shared" si="18"/>
        <v/>
      </c>
      <c r="O90" s="315" t="s">
        <v>158</v>
      </c>
      <c r="P90" s="315"/>
      <c r="Q90" s="315"/>
      <c r="R90" s="315"/>
      <c r="S90" s="315"/>
      <c r="T90" s="280" t="s">
        <v>680</v>
      </c>
      <c r="U90" s="280"/>
      <c r="V90" s="280"/>
      <c r="W90" s="280"/>
      <c r="X90" s="280"/>
      <c r="Y90" s="335"/>
      <c r="Z90" s="280"/>
      <c r="AA90" s="281"/>
      <c r="AB90" s="280"/>
      <c r="AC90" s="280"/>
      <c r="AD90" s="280"/>
    </row>
    <row r="91" spans="1:30" ht="18" customHeight="1">
      <c r="A91" s="282"/>
      <c r="B91" s="282">
        <v>74</v>
      </c>
      <c r="C91" s="280"/>
      <c r="D91" s="315" t="s">
        <v>2199</v>
      </c>
      <c r="E91" s="280" t="s">
        <v>2199</v>
      </c>
      <c r="F91" s="280"/>
      <c r="G91" s="280"/>
      <c r="H91" s="299"/>
      <c r="I91" s="337">
        <f t="shared" si="13"/>
        <v>0</v>
      </c>
      <c r="J91" s="337">
        <f t="shared" si="14"/>
        <v>0</v>
      </c>
      <c r="K91" s="337">
        <f t="shared" si="15"/>
        <v>0</v>
      </c>
      <c r="L91" s="281" t="str">
        <f t="shared" si="16"/>
        <v/>
      </c>
      <c r="M91" s="281" t="str">
        <f t="shared" si="17"/>
        <v/>
      </c>
      <c r="N91" s="281" t="str">
        <f t="shared" si="18"/>
        <v/>
      </c>
      <c r="O91" s="315"/>
      <c r="P91" s="315" t="s">
        <v>157</v>
      </c>
      <c r="Q91" s="315" t="s">
        <v>157</v>
      </c>
      <c r="R91" s="315"/>
      <c r="S91" s="315"/>
      <c r="T91" s="280"/>
      <c r="U91" s="280" t="s">
        <v>2202</v>
      </c>
      <c r="V91" s="280" t="s">
        <v>2202</v>
      </c>
      <c r="W91" s="280"/>
      <c r="X91" s="280"/>
      <c r="Y91" s="335"/>
      <c r="Z91" s="280"/>
      <c r="AA91" s="281"/>
      <c r="AB91" s="280"/>
      <c r="AC91" s="280"/>
      <c r="AD91" s="280"/>
    </row>
    <row r="92" spans="1:30" ht="27" customHeight="1">
      <c r="A92" s="282"/>
      <c r="B92" s="282">
        <v>75</v>
      </c>
      <c r="C92" s="280"/>
      <c r="D92" s="315" t="s">
        <v>2200</v>
      </c>
      <c r="E92" s="280"/>
      <c r="F92" s="280"/>
      <c r="G92" s="280"/>
      <c r="H92" s="299"/>
      <c r="I92" s="337">
        <f t="shared" si="13"/>
        <v>0</v>
      </c>
      <c r="J92" s="337">
        <f t="shared" si="14"/>
        <v>0</v>
      </c>
      <c r="K92" s="337">
        <f t="shared" si="15"/>
        <v>0</v>
      </c>
      <c r="L92" s="281" t="str">
        <f t="shared" si="16"/>
        <v/>
      </c>
      <c r="M92" s="281" t="str">
        <f t="shared" si="17"/>
        <v/>
      </c>
      <c r="N92" s="281" t="str">
        <f t="shared" si="18"/>
        <v/>
      </c>
      <c r="O92" s="315"/>
      <c r="P92" s="315" t="s">
        <v>158</v>
      </c>
      <c r="Q92" s="315"/>
      <c r="R92" s="315"/>
      <c r="S92" s="315"/>
      <c r="T92" s="280"/>
      <c r="U92" s="280" t="s">
        <v>2203</v>
      </c>
      <c r="V92" s="280"/>
      <c r="W92" s="280"/>
      <c r="X92" s="280"/>
      <c r="Y92" s="335"/>
      <c r="Z92" s="280"/>
      <c r="AA92" s="281" t="s">
        <v>2204</v>
      </c>
      <c r="AB92" s="280"/>
      <c r="AC92" s="280"/>
      <c r="AD92" s="280"/>
    </row>
    <row r="93" spans="1:30" ht="27" customHeight="1">
      <c r="A93" s="282"/>
      <c r="B93" s="282">
        <v>76</v>
      </c>
      <c r="C93" s="280"/>
      <c r="D93" s="315"/>
      <c r="E93" s="280"/>
      <c r="F93" s="280"/>
      <c r="G93" s="280"/>
      <c r="H93" s="299"/>
      <c r="I93" s="337">
        <f t="shared" si="13"/>
        <v>0</v>
      </c>
      <c r="J93" s="337">
        <f t="shared" si="14"/>
        <v>0</v>
      </c>
      <c r="K93" s="337">
        <f t="shared" si="15"/>
        <v>0</v>
      </c>
      <c r="L93" s="281" t="str">
        <f t="shared" si="16"/>
        <v/>
      </c>
      <c r="M93" s="281" t="str">
        <f t="shared" si="17"/>
        <v/>
      </c>
      <c r="N93" s="281" t="str">
        <f t="shared" si="18"/>
        <v/>
      </c>
      <c r="O93" s="315"/>
      <c r="P93" s="315" t="s">
        <v>2110</v>
      </c>
      <c r="Q93" s="315"/>
      <c r="R93" s="315"/>
      <c r="S93" s="315"/>
      <c r="T93" s="280"/>
      <c r="U93" s="280" t="s">
        <v>2205</v>
      </c>
      <c r="V93" s="280"/>
      <c r="W93" s="280"/>
      <c r="X93" s="280"/>
      <c r="Y93" s="335"/>
      <c r="Z93" s="280"/>
      <c r="AA93" s="281" t="s">
        <v>2206</v>
      </c>
      <c r="AB93" s="280"/>
      <c r="AC93" s="280"/>
      <c r="AD93" s="280"/>
    </row>
    <row r="94" spans="1:30" ht="45" customHeight="1">
      <c r="A94" s="282"/>
      <c r="B94" s="282">
        <v>77</v>
      </c>
      <c r="C94" s="280"/>
      <c r="D94" s="315" t="s">
        <v>2201</v>
      </c>
      <c r="E94" s="280"/>
      <c r="F94" s="280"/>
      <c r="G94" s="280"/>
      <c r="H94" s="299"/>
      <c r="I94" s="337">
        <f t="shared" si="13"/>
        <v>0</v>
      </c>
      <c r="J94" s="337">
        <f t="shared" si="14"/>
        <v>0</v>
      </c>
      <c r="K94" s="337">
        <f t="shared" si="15"/>
        <v>0</v>
      </c>
      <c r="L94" s="281" t="str">
        <f t="shared" si="16"/>
        <v/>
      </c>
      <c r="M94" s="281" t="str">
        <f t="shared" si="17"/>
        <v/>
      </c>
      <c r="N94" s="281" t="str">
        <f t="shared" si="18"/>
        <v/>
      </c>
      <c r="O94" s="315"/>
      <c r="P94" s="315" t="s">
        <v>1465</v>
      </c>
      <c r="Q94" s="315"/>
      <c r="R94" s="315"/>
      <c r="S94" s="315"/>
      <c r="T94" s="280"/>
      <c r="U94" s="280" t="s">
        <v>2207</v>
      </c>
      <c r="V94" s="280"/>
      <c r="W94" s="280"/>
      <c r="X94" s="280"/>
      <c r="Y94" s="335"/>
      <c r="Z94" s="280"/>
      <c r="AA94" s="281" t="s">
        <v>2208</v>
      </c>
      <c r="AB94" s="280"/>
      <c r="AC94" s="280"/>
      <c r="AD94" s="280"/>
    </row>
    <row r="95" spans="1:30" ht="99" customHeight="1">
      <c r="A95" s="282"/>
      <c r="B95" s="282">
        <v>78</v>
      </c>
      <c r="C95" s="280" t="s">
        <v>2209</v>
      </c>
      <c r="D95" s="315"/>
      <c r="E95" s="280"/>
      <c r="F95" s="280"/>
      <c r="G95" s="280"/>
      <c r="H95" s="299"/>
      <c r="I95" s="337" t="str">
        <f t="shared" si="13"/>
        <v>15</v>
      </c>
      <c r="J95" s="337" t="str">
        <f t="shared" si="14"/>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5" s="337">
        <f t="shared" si="15"/>
        <v>0</v>
      </c>
      <c r="L95" s="281" t="str">
        <f t="shared" si="16"/>
        <v>15</v>
      </c>
      <c r="M95" s="281" t="str">
        <f t="shared" si="17"/>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5" s="281" t="str">
        <f t="shared" si="18"/>
        <v/>
      </c>
      <c r="O95" s="315" t="s">
        <v>1465</v>
      </c>
      <c r="P95" s="315"/>
      <c r="Q95" s="315"/>
      <c r="R95" s="315"/>
      <c r="S95" s="315"/>
      <c r="T95" s="280" t="s">
        <v>2210</v>
      </c>
      <c r="U95" s="280"/>
      <c r="V95" s="280"/>
      <c r="W95" s="280"/>
      <c r="X95" s="280"/>
      <c r="Y95" s="335"/>
      <c r="Z95" s="280"/>
      <c r="AA95" s="281"/>
      <c r="AB95" s="280"/>
      <c r="AC95" s="280"/>
      <c r="AD95" s="280"/>
    </row>
    <row r="96" spans="1:30" ht="99" customHeight="1">
      <c r="A96" s="282"/>
      <c r="B96" s="282">
        <v>79</v>
      </c>
      <c r="C96" s="280" t="s">
        <v>1152</v>
      </c>
      <c r="D96" s="315"/>
      <c r="E96" s="280"/>
      <c r="F96" s="280"/>
      <c r="G96" s="280"/>
      <c r="H96" s="299"/>
      <c r="I96" s="337" t="str">
        <f t="shared" si="13"/>
        <v>16</v>
      </c>
      <c r="J96" s="337" t="str">
        <f t="shared" si="14"/>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6" s="337" t="str">
        <f t="shared" si="15"/>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L96" s="281" t="str">
        <f t="shared" si="16"/>
        <v>16</v>
      </c>
      <c r="M96" s="281" t="str">
        <f t="shared" si="17"/>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6" s="281" t="str">
        <f t="shared" si="18"/>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O96" s="315" t="s">
        <v>1471</v>
      </c>
      <c r="P96" s="315"/>
      <c r="Q96" s="315"/>
      <c r="R96" s="315"/>
      <c r="S96" s="315"/>
      <c r="T96" s="280" t="s">
        <v>2211</v>
      </c>
      <c r="U96" s="280"/>
      <c r="V96" s="280"/>
      <c r="W96" s="280"/>
      <c r="X96" s="280"/>
      <c r="Y96" s="335"/>
      <c r="Z96" s="280" t="s">
        <v>2212</v>
      </c>
      <c r="AA96" s="281"/>
      <c r="AB96" s="280"/>
      <c r="AC96" s="280"/>
      <c r="AD96" s="280"/>
    </row>
    <row r="97" spans="1:30" ht="63" customHeight="1">
      <c r="A97" s="282"/>
      <c r="B97" s="282">
        <v>80</v>
      </c>
      <c r="C97" s="280" t="s">
        <v>2213</v>
      </c>
      <c r="D97" s="315"/>
      <c r="E97" s="280"/>
      <c r="F97" s="280"/>
      <c r="G97" s="280"/>
      <c r="H97" s="299"/>
      <c r="I97" s="337" t="str">
        <f t="shared" si="13"/>
        <v>17</v>
      </c>
      <c r="J97" s="337" t="str">
        <f t="shared" si="14"/>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7" s="337" t="str">
        <f t="shared" si="15"/>
        <v>Регулируемыми организациями указывается информация с по договорам, заключенным в рамках осуществления регулируемой деятельности.</v>
      </c>
      <c r="L97" s="281" t="str">
        <f t="shared" si="16"/>
        <v>17</v>
      </c>
      <c r="M97" s="281" t="str">
        <f t="shared" si="17"/>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7" s="281" t="str">
        <f t="shared" si="18"/>
        <v>Регулируемыми организациями указывается информация с по договорам, заключенным в рамках осуществления регулируемой деятельности.</v>
      </c>
      <c r="O97" s="315" t="s">
        <v>1483</v>
      </c>
      <c r="P97" s="315"/>
      <c r="Q97" s="315"/>
      <c r="R97" s="315"/>
      <c r="S97" s="315"/>
      <c r="T97" s="280" t="s">
        <v>2214</v>
      </c>
      <c r="U97" s="280"/>
      <c r="V97" s="280"/>
      <c r="W97" s="280"/>
      <c r="X97" s="280"/>
      <c r="Y97" s="335"/>
      <c r="Z97" s="280" t="s">
        <v>2215</v>
      </c>
      <c r="AA97" s="281"/>
      <c r="AB97" s="280"/>
      <c r="AC97" s="280"/>
      <c r="AD97" s="280"/>
    </row>
    <row r="98" spans="1:30" ht="63" customHeight="1">
      <c r="A98" s="282"/>
      <c r="B98" s="282">
        <v>81</v>
      </c>
      <c r="C98" s="280" t="s">
        <v>2216</v>
      </c>
      <c r="D98" s="315"/>
      <c r="E98" s="280"/>
      <c r="F98" s="280"/>
      <c r="G98" s="280"/>
      <c r="H98" s="299"/>
      <c r="I98" s="337" t="str">
        <f t="shared" si="13"/>
        <v>18</v>
      </c>
      <c r="J98" s="337" t="str">
        <f t="shared" si="14"/>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8" s="337" t="str">
        <f t="shared" si="15"/>
        <v>Регулируемыми организациями указывается информация с по договорам, заключенным в рамках осуществления регулируемой деятельности.</v>
      </c>
      <c r="L98" s="281" t="str">
        <f t="shared" si="16"/>
        <v>18</v>
      </c>
      <c r="M98" s="281" t="str">
        <f t="shared" si="17"/>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8" s="281" t="str">
        <f t="shared" si="18"/>
        <v>Регулируемыми организациями указывается информация с по договорам, заключенным в рамках осуществления регулируемой деятельности.</v>
      </c>
      <c r="O98" s="315" t="s">
        <v>1497</v>
      </c>
      <c r="P98" s="315"/>
      <c r="Q98" s="315"/>
      <c r="R98" s="315"/>
      <c r="S98" s="315"/>
      <c r="T98" s="280" t="s">
        <v>2217</v>
      </c>
      <c r="U98" s="280"/>
      <c r="V98" s="280"/>
      <c r="W98" s="280"/>
      <c r="X98" s="280"/>
      <c r="Y98" s="335"/>
      <c r="Z98" s="280" t="s">
        <v>2215</v>
      </c>
      <c r="AA98" s="281"/>
      <c r="AB98" s="280"/>
      <c r="AC98" s="280"/>
      <c r="AD98" s="280"/>
    </row>
    <row r="99" spans="1:30" ht="90" customHeight="1">
      <c r="A99" s="282"/>
      <c r="B99" s="282">
        <v>82</v>
      </c>
      <c r="C99" s="280" t="s">
        <v>2218</v>
      </c>
      <c r="D99" s="315"/>
      <c r="E99" s="280"/>
      <c r="F99" s="280"/>
      <c r="G99" s="280"/>
      <c r="H99" s="299"/>
      <c r="I99" s="337" t="str">
        <f t="shared" si="13"/>
        <v>19</v>
      </c>
      <c r="J99" s="337" t="str">
        <f t="shared" si="14"/>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K99" s="337" t="str">
        <f t="shared" si="15"/>
        <v>Указывается ссылка на документ, предварительно загруженный в хранилище файлов ФГИС ЕИАС.</v>
      </c>
      <c r="L99" s="281" t="str">
        <f t="shared" si="16"/>
        <v>19</v>
      </c>
      <c r="M99" s="281" t="str">
        <f t="shared" si="17"/>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N99" s="281" t="str">
        <f t="shared" si="18"/>
        <v>Указывается ссылка на документ, предварительно загруженный в хранилище файлов ФГИС ЕИАС.</v>
      </c>
      <c r="O99" s="315" t="s">
        <v>1509</v>
      </c>
      <c r="P99" s="315"/>
      <c r="Q99" s="315"/>
      <c r="R99" s="315"/>
      <c r="S99" s="315"/>
      <c r="T99" s="280" t="s">
        <v>2219</v>
      </c>
      <c r="U99" s="280"/>
      <c r="V99" s="280"/>
      <c r="W99" s="280"/>
      <c r="X99" s="280"/>
      <c r="Y99" s="335"/>
      <c r="Z99" s="280" t="s">
        <v>635</v>
      </c>
      <c r="AA99" s="281"/>
      <c r="AB99" s="280"/>
      <c r="AC99" s="280"/>
      <c r="AD99" s="280"/>
    </row>
    <row r="100" spans="1:30" ht="27" customHeight="1">
      <c r="A100" s="282"/>
      <c r="B100" s="282">
        <v>83</v>
      </c>
      <c r="C100" s="280"/>
      <c r="D100" s="315"/>
      <c r="E100" s="280"/>
      <c r="F100" s="280"/>
      <c r="G100" s="280"/>
      <c r="H100" s="299"/>
      <c r="I100" s="337" t="str">
        <f t="shared" si="13"/>
        <v>19.1</v>
      </c>
      <c r="J100" s="337" t="str">
        <f t="shared" si="14"/>
        <v>Информация о показателях физического износа объектов теплоснабжения</v>
      </c>
      <c r="K100" s="337" t="str">
        <f t="shared" si="15"/>
        <v>Указывается ссылка на документ, предварительно загруженный в хранилище файлов ФГИС ЕИАС.</v>
      </c>
      <c r="L100" s="281" t="str">
        <f t="shared" si="16"/>
        <v>19.1</v>
      </c>
      <c r="M100" s="281" t="str">
        <f t="shared" si="17"/>
        <v>Информация о показателях физического износа объектов теплоснабжения</v>
      </c>
      <c r="N100" s="281" t="str">
        <f t="shared" si="18"/>
        <v>Указывается ссылка на документ, предварительно загруженный в хранилище файлов ФГИС ЕИАС.</v>
      </c>
      <c r="O100" s="315" t="s">
        <v>2220</v>
      </c>
      <c r="P100" s="315"/>
      <c r="Q100" s="315"/>
      <c r="R100" s="315"/>
      <c r="S100" s="315"/>
      <c r="T100" s="280" t="s">
        <v>2221</v>
      </c>
      <c r="U100" s="280"/>
      <c r="V100" s="280"/>
      <c r="W100" s="280"/>
      <c r="X100" s="280"/>
      <c r="Y100" s="335"/>
      <c r="Z100" s="280" t="s">
        <v>635</v>
      </c>
      <c r="AA100" s="281"/>
      <c r="AB100" s="280"/>
      <c r="AC100" s="280"/>
      <c r="AD100" s="280"/>
    </row>
    <row r="101" spans="1:30" ht="27" customHeight="1">
      <c r="A101" s="282"/>
      <c r="B101" s="282">
        <v>84</v>
      </c>
      <c r="C101" s="280"/>
      <c r="D101" s="315"/>
      <c r="E101" s="280"/>
      <c r="F101" s="280"/>
      <c r="G101" s="280"/>
      <c r="H101" s="299"/>
      <c r="I101" s="337" t="str">
        <f t="shared" si="13"/>
        <v>19.2</v>
      </c>
      <c r="J101" s="337" t="str">
        <f t="shared" si="14"/>
        <v>Информация о показателях энергетической эффективности объектов теплоснабжения</v>
      </c>
      <c r="K101" s="337" t="str">
        <f t="shared" si="15"/>
        <v>Указывается ссылка на документ, предварительно загруженный в хранилище файлов ФГИС ЕИАС.</v>
      </c>
      <c r="L101" s="281" t="str">
        <f t="shared" si="16"/>
        <v>19.2</v>
      </c>
      <c r="M101" s="281" t="str">
        <f t="shared" si="17"/>
        <v>Информация о показателях энергетической эффективности объектов теплоснабжения</v>
      </c>
      <c r="N101" s="281" t="str">
        <f t="shared" si="18"/>
        <v>Указывается ссылка на документ, предварительно загруженный в хранилище файлов ФГИС ЕИАС.</v>
      </c>
      <c r="O101" s="315" t="s">
        <v>2222</v>
      </c>
      <c r="P101" s="315"/>
      <c r="Q101" s="315"/>
      <c r="R101" s="315"/>
      <c r="S101" s="315"/>
      <c r="T101" s="280" t="s">
        <v>2223</v>
      </c>
      <c r="U101" s="280"/>
      <c r="V101" s="280"/>
      <c r="W101" s="280"/>
      <c r="X101" s="280"/>
      <c r="Y101" s="335"/>
      <c r="Z101" s="280" t="s">
        <v>635</v>
      </c>
      <c r="AA101" s="281"/>
      <c r="AB101" s="280"/>
      <c r="AC101" s="280"/>
      <c r="AD101" s="280"/>
    </row>
    <row r="102" spans="1:30" ht="9" customHeight="1">
      <c r="A102" s="282"/>
      <c r="B102" s="282"/>
      <c r="C102" s="280"/>
      <c r="D102" s="280"/>
      <c r="E102" s="280"/>
      <c r="F102" s="280"/>
      <c r="G102" s="280"/>
      <c r="H102" s="299"/>
      <c r="I102" s="299"/>
      <c r="J102" s="299"/>
      <c r="K102" s="299"/>
      <c r="L102" s="299"/>
      <c r="M102" s="280"/>
      <c r="N102" s="298"/>
      <c r="O102" s="315"/>
      <c r="P102" s="315"/>
      <c r="Q102" s="315"/>
      <c r="R102" s="315"/>
      <c r="S102" s="280"/>
      <c r="T102" s="280"/>
      <c r="U102" s="280"/>
      <c r="V102" s="280"/>
      <c r="W102" s="280"/>
      <c r="X102" s="280"/>
      <c r="Y102" s="335"/>
      <c r="Z102" s="280"/>
      <c r="AA102" s="281"/>
      <c r="AB102" s="280"/>
      <c r="AC102" s="280"/>
      <c r="AD102" s="280"/>
    </row>
    <row r="103" spans="1:30" ht="9" customHeight="1">
      <c r="A103" s="282"/>
      <c r="B103" s="282"/>
      <c r="C103" s="280"/>
      <c r="D103" s="280"/>
      <c r="E103" s="280"/>
      <c r="F103" s="280"/>
      <c r="G103" s="280"/>
      <c r="H103" s="299"/>
      <c r="I103" s="299"/>
      <c r="J103" s="299"/>
      <c r="K103" s="299"/>
      <c r="L103" s="299"/>
      <c r="M103" s="280"/>
      <c r="N103" s="298"/>
      <c r="O103" s="315"/>
      <c r="P103" s="315"/>
      <c r="Q103" s="315"/>
      <c r="R103" s="315"/>
      <c r="S103" s="280"/>
      <c r="T103" s="280"/>
      <c r="U103" s="280"/>
      <c r="V103" s="280"/>
      <c r="W103" s="280"/>
      <c r="X103" s="280"/>
      <c r="Y103" s="335"/>
      <c r="Z103" s="280"/>
      <c r="AA103" s="281"/>
      <c r="AB103" s="280"/>
      <c r="AC103" s="280"/>
      <c r="AD103" s="280"/>
    </row>
    <row r="104" spans="1:30" ht="9" customHeight="1">
      <c r="A104" s="282"/>
      <c r="B104" s="282"/>
      <c r="C104" s="280"/>
      <c r="D104" s="280"/>
      <c r="E104" s="280"/>
      <c r="F104" s="280"/>
      <c r="G104" s="280"/>
      <c r="H104" s="299"/>
      <c r="I104" s="299"/>
      <c r="J104" s="299"/>
      <c r="K104" s="299"/>
      <c r="L104" s="299"/>
      <c r="M104" s="280"/>
      <c r="N104" s="298"/>
      <c r="O104" s="315"/>
      <c r="P104" s="315"/>
      <c r="Q104" s="315"/>
      <c r="R104" s="315"/>
      <c r="S104" s="280"/>
      <c r="T104" s="280"/>
      <c r="U104" s="280"/>
      <c r="V104" s="280"/>
      <c r="W104" s="280"/>
      <c r="X104" s="280"/>
      <c r="Y104" s="335"/>
      <c r="Z104" s="280"/>
      <c r="AA104" s="281"/>
      <c r="AB104" s="280"/>
      <c r="AC104" s="280"/>
      <c r="AD104" s="280"/>
    </row>
    <row r="105" spans="1:30" ht="9" customHeight="1">
      <c r="A105" s="282"/>
      <c r="B105" s="282"/>
      <c r="C105" s="280"/>
      <c r="D105" s="280"/>
      <c r="E105" s="280"/>
      <c r="F105" s="280"/>
      <c r="G105" s="280"/>
      <c r="H105" s="299"/>
      <c r="I105" s="299"/>
      <c r="J105" s="299"/>
      <c r="K105" s="299"/>
      <c r="L105" s="299"/>
      <c r="M105" s="280"/>
      <c r="N105" s="298"/>
      <c r="O105" s="315"/>
      <c r="P105" s="315"/>
      <c r="Q105" s="315"/>
      <c r="R105" s="315"/>
      <c r="S105" s="280"/>
      <c r="T105" s="280"/>
      <c r="U105" s="280"/>
      <c r="V105" s="280"/>
      <c r="W105" s="280"/>
      <c r="X105" s="280"/>
      <c r="Y105" s="335"/>
      <c r="Z105" s="280"/>
      <c r="AA105" s="281"/>
      <c r="AB105" s="280"/>
      <c r="AC105" s="280"/>
      <c r="AD105" s="280"/>
    </row>
    <row r="106" spans="1:30" ht="9" customHeight="1">
      <c r="A106" s="282"/>
      <c r="B106" s="282"/>
      <c r="C106" s="280"/>
      <c r="D106" s="280"/>
      <c r="E106" s="280"/>
      <c r="F106" s="280"/>
      <c r="G106" s="280"/>
      <c r="H106" s="299"/>
      <c r="I106" s="299"/>
      <c r="J106" s="299"/>
      <c r="K106" s="299"/>
      <c r="L106" s="299"/>
      <c r="M106" s="280"/>
      <c r="N106" s="298"/>
      <c r="O106" s="315"/>
      <c r="P106" s="315"/>
      <c r="Q106" s="315"/>
      <c r="R106" s="315"/>
      <c r="S106" s="280"/>
      <c r="T106" s="280"/>
      <c r="U106" s="280"/>
      <c r="V106" s="280"/>
      <c r="W106" s="280"/>
      <c r="X106" s="280"/>
      <c r="Y106" s="335"/>
      <c r="Z106" s="280"/>
      <c r="AA106" s="281"/>
      <c r="AB106" s="280"/>
      <c r="AC106" s="280"/>
      <c r="AD106" s="280"/>
    </row>
    <row r="107" spans="1:30" ht="9" customHeight="1">
      <c r="A107" s="282"/>
      <c r="B107" s="282"/>
      <c r="C107" s="280"/>
      <c r="D107" s="280"/>
      <c r="E107" s="280"/>
      <c r="F107" s="280"/>
      <c r="G107" s="280"/>
      <c r="H107" s="299"/>
      <c r="I107" s="299"/>
      <c r="J107" s="299"/>
      <c r="K107" s="299"/>
      <c r="L107" s="299"/>
      <c r="M107" s="280"/>
      <c r="N107" s="298"/>
      <c r="O107" s="315"/>
      <c r="P107" s="315"/>
      <c r="Q107" s="315"/>
      <c r="R107" s="315"/>
      <c r="S107" s="280"/>
      <c r="T107" s="280"/>
      <c r="U107" s="280"/>
      <c r="V107" s="280"/>
      <c r="W107" s="280"/>
      <c r="X107" s="280"/>
      <c r="Y107" s="335"/>
      <c r="Z107" s="280"/>
      <c r="AA107" s="281"/>
      <c r="AB107" s="280"/>
      <c r="AC107" s="280"/>
      <c r="AD107" s="280"/>
    </row>
    <row r="108" spans="1:30" ht="9" customHeight="1">
      <c r="A108" s="282"/>
      <c r="B108" s="282"/>
      <c r="C108" s="280"/>
      <c r="D108" s="280"/>
      <c r="E108" s="280"/>
      <c r="F108" s="280"/>
      <c r="G108" s="280"/>
      <c r="H108" s="299"/>
      <c r="I108" s="299"/>
      <c r="J108" s="299"/>
      <c r="K108" s="299"/>
      <c r="L108" s="299"/>
      <c r="M108" s="280"/>
      <c r="N108" s="298"/>
      <c r="O108" s="315"/>
      <c r="P108" s="315"/>
      <c r="Q108" s="315"/>
      <c r="R108" s="315"/>
      <c r="S108" s="280"/>
      <c r="T108" s="280"/>
      <c r="U108" s="280"/>
      <c r="V108" s="280"/>
      <c r="W108" s="280"/>
      <c r="X108" s="280"/>
      <c r="Y108" s="335"/>
      <c r="Z108" s="280"/>
      <c r="AA108" s="281"/>
      <c r="AB108" s="280"/>
      <c r="AC108" s="280"/>
      <c r="AD108" s="280"/>
    </row>
    <row r="109" spans="1:30" ht="9" customHeight="1">
      <c r="A109" s="282"/>
      <c r="B109" s="282"/>
      <c r="C109" s="280"/>
      <c r="D109" s="280"/>
      <c r="E109" s="280"/>
      <c r="F109" s="280"/>
      <c r="G109" s="280"/>
      <c r="H109" s="299"/>
      <c r="I109" s="299"/>
      <c r="J109" s="299"/>
      <c r="K109" s="299"/>
      <c r="L109" s="299"/>
      <c r="M109" s="280"/>
      <c r="N109" s="298"/>
      <c r="O109" s="315"/>
      <c r="P109" s="315"/>
      <c r="Q109" s="315"/>
      <c r="R109" s="315"/>
      <c r="S109" s="280"/>
      <c r="T109" s="280"/>
      <c r="U109" s="280"/>
      <c r="V109" s="280"/>
      <c r="W109" s="280"/>
      <c r="X109" s="280"/>
      <c r="Y109" s="335"/>
      <c r="Z109" s="280"/>
      <c r="AA109" s="281"/>
      <c r="AB109" s="280"/>
      <c r="AC109" s="280"/>
      <c r="AD109" s="280"/>
    </row>
    <row r="110" spans="1:30" ht="9" customHeight="1">
      <c r="A110" s="282"/>
      <c r="B110" s="282"/>
      <c r="C110" s="280"/>
      <c r="D110" s="280"/>
      <c r="E110" s="280"/>
      <c r="F110" s="280"/>
      <c r="G110" s="280"/>
      <c r="H110" s="299"/>
      <c r="I110" s="299"/>
      <c r="J110" s="299"/>
      <c r="K110" s="299"/>
      <c r="L110" s="299"/>
      <c r="M110" s="280"/>
      <c r="N110" s="298"/>
      <c r="O110" s="315"/>
      <c r="P110" s="315"/>
      <c r="Q110" s="315"/>
      <c r="R110" s="315"/>
      <c r="S110" s="280"/>
      <c r="T110" s="280"/>
      <c r="U110" s="280"/>
      <c r="V110" s="280"/>
      <c r="W110" s="280"/>
      <c r="X110" s="280"/>
      <c r="Y110" s="335"/>
      <c r="Z110" s="280"/>
      <c r="AA110" s="281"/>
      <c r="AB110" s="280"/>
      <c r="AC110" s="280"/>
      <c r="AD110" s="280"/>
    </row>
    <row r="111" spans="1:30" ht="9" customHeight="1">
      <c r="A111" s="282"/>
      <c r="B111" s="282"/>
      <c r="C111" s="280"/>
      <c r="D111" s="280"/>
      <c r="E111" s="280"/>
      <c r="F111" s="280"/>
      <c r="G111" s="280"/>
      <c r="H111" s="299"/>
      <c r="I111" s="299"/>
      <c r="J111" s="299"/>
      <c r="K111" s="299"/>
      <c r="L111" s="299"/>
      <c r="M111" s="280"/>
      <c r="N111" s="298"/>
      <c r="O111" s="315"/>
      <c r="P111" s="315"/>
      <c r="Q111" s="315"/>
      <c r="R111" s="315"/>
      <c r="S111" s="280"/>
      <c r="T111" s="280"/>
      <c r="U111" s="280"/>
      <c r="V111" s="280"/>
      <c r="W111" s="280"/>
      <c r="X111" s="280"/>
      <c r="Y111" s="335"/>
      <c r="Z111" s="280"/>
      <c r="AA111" s="281"/>
      <c r="AB111" s="280"/>
      <c r="AC111" s="280"/>
      <c r="AD111" s="280"/>
    </row>
    <row r="112" spans="1:30" ht="9" customHeight="1">
      <c r="A112" s="282"/>
      <c r="B112" s="282"/>
      <c r="C112" s="280"/>
      <c r="D112" s="280"/>
      <c r="E112" s="280"/>
      <c r="F112" s="280"/>
      <c r="G112" s="280"/>
      <c r="H112" s="299"/>
      <c r="I112" s="299"/>
      <c r="J112" s="299"/>
      <c r="K112" s="299"/>
      <c r="L112" s="299"/>
      <c r="M112" s="280"/>
      <c r="N112" s="298"/>
      <c r="O112" s="315"/>
      <c r="P112" s="315"/>
      <c r="Q112" s="315"/>
      <c r="R112" s="315"/>
      <c r="S112" s="280"/>
      <c r="T112" s="280"/>
      <c r="U112" s="280"/>
      <c r="V112" s="280"/>
      <c r="W112" s="280"/>
      <c r="X112" s="280"/>
      <c r="Y112" s="335"/>
      <c r="Z112" s="280"/>
      <c r="AA112" s="281"/>
      <c r="AB112" s="280"/>
      <c r="AC112" s="280"/>
      <c r="AD112" s="280"/>
    </row>
    <row r="113" spans="1:30" ht="9" customHeight="1">
      <c r="A113" s="282"/>
      <c r="B113" s="282"/>
      <c r="C113" s="280"/>
      <c r="D113" s="280"/>
      <c r="E113" s="280"/>
      <c r="F113" s="280"/>
      <c r="G113" s="280"/>
      <c r="H113" s="299"/>
      <c r="I113" s="299"/>
      <c r="J113" s="299"/>
      <c r="K113" s="299"/>
      <c r="L113" s="299"/>
      <c r="M113" s="280"/>
      <c r="N113" s="298"/>
      <c r="O113" s="315"/>
      <c r="P113" s="315"/>
      <c r="Q113" s="315"/>
      <c r="R113" s="315"/>
      <c r="S113" s="280"/>
      <c r="T113" s="280"/>
      <c r="U113" s="280"/>
      <c r="V113" s="280"/>
      <c r="W113" s="280"/>
      <c r="X113" s="280"/>
      <c r="Y113" s="335"/>
      <c r="Z113" s="280"/>
      <c r="AA113" s="281"/>
      <c r="AB113" s="280"/>
      <c r="AC113" s="280"/>
      <c r="AD113" s="280"/>
    </row>
    <row r="114" spans="1:30" ht="9" customHeight="1">
      <c r="A114" s="282"/>
      <c r="B114" s="282"/>
      <c r="C114" s="280"/>
      <c r="D114" s="280"/>
      <c r="E114" s="280"/>
      <c r="F114" s="280"/>
      <c r="G114" s="280"/>
      <c r="H114" s="299"/>
      <c r="I114" s="299"/>
      <c r="J114" s="299"/>
      <c r="K114" s="299"/>
      <c r="L114" s="299"/>
      <c r="M114" s="280"/>
      <c r="N114" s="298"/>
      <c r="O114" s="315"/>
      <c r="P114" s="315"/>
      <c r="Q114" s="315"/>
      <c r="R114" s="315"/>
      <c r="S114" s="280"/>
      <c r="T114" s="280"/>
      <c r="U114" s="280"/>
      <c r="V114" s="280"/>
      <c r="W114" s="280"/>
      <c r="X114" s="280"/>
      <c r="Y114" s="335"/>
      <c r="Z114" s="280"/>
      <c r="AA114" s="281"/>
      <c r="AB114" s="280"/>
      <c r="AC114" s="280"/>
      <c r="AD114" s="280"/>
    </row>
    <row r="115" spans="1:30" ht="9" customHeight="1">
      <c r="A115" s="282"/>
      <c r="B115" s="282"/>
      <c r="C115" s="280"/>
      <c r="D115" s="280"/>
      <c r="E115" s="280"/>
      <c r="F115" s="280"/>
      <c r="G115" s="280"/>
      <c r="H115" s="299"/>
      <c r="I115" s="299"/>
      <c r="J115" s="299"/>
      <c r="K115" s="299"/>
      <c r="L115" s="299"/>
      <c r="M115" s="280"/>
      <c r="N115" s="298"/>
      <c r="O115" s="315"/>
      <c r="P115" s="315"/>
      <c r="Q115" s="315"/>
      <c r="R115" s="315"/>
      <c r="S115" s="280"/>
      <c r="T115" s="280"/>
      <c r="U115" s="280"/>
      <c r="V115" s="280"/>
      <c r="W115" s="280"/>
      <c r="X115" s="280"/>
      <c r="Y115" s="335"/>
      <c r="Z115" s="280"/>
      <c r="AA115" s="281"/>
      <c r="AB115" s="280"/>
      <c r="AC115" s="280"/>
      <c r="AD115" s="280"/>
    </row>
    <row r="116" spans="1:30" ht="9" customHeight="1">
      <c r="A116" s="282"/>
      <c r="B116" s="282"/>
      <c r="C116" s="280"/>
      <c r="D116" s="280"/>
      <c r="E116" s="280"/>
      <c r="F116" s="280"/>
      <c r="G116" s="280"/>
      <c r="H116" s="299"/>
      <c r="I116" s="299"/>
      <c r="J116" s="299"/>
      <c r="K116" s="299"/>
      <c r="L116" s="299"/>
      <c r="M116" s="280"/>
      <c r="N116" s="298"/>
      <c r="O116" s="315"/>
      <c r="P116" s="315"/>
      <c r="Q116" s="315"/>
      <c r="R116" s="315"/>
      <c r="S116" s="280"/>
      <c r="T116" s="280"/>
      <c r="U116" s="280"/>
      <c r="V116" s="280"/>
      <c r="W116" s="280"/>
      <c r="X116" s="280"/>
      <c r="Y116" s="335"/>
      <c r="Z116" s="280"/>
      <c r="AA116" s="281"/>
      <c r="AB116" s="280"/>
      <c r="AC116" s="280"/>
      <c r="AD116" s="280"/>
    </row>
    <row r="117" spans="1:30" ht="9" customHeight="1">
      <c r="A117" s="282"/>
      <c r="B117" s="282"/>
      <c r="C117" s="280"/>
      <c r="D117" s="280"/>
      <c r="E117" s="280"/>
      <c r="F117" s="280"/>
      <c r="G117" s="280"/>
      <c r="H117" s="299"/>
      <c r="I117" s="299"/>
      <c r="J117" s="299"/>
      <c r="K117" s="299"/>
      <c r="L117" s="299"/>
      <c r="M117" s="280"/>
      <c r="N117" s="298"/>
      <c r="O117" s="315"/>
      <c r="P117" s="315"/>
      <c r="Q117" s="315"/>
      <c r="R117" s="315"/>
      <c r="S117" s="280"/>
      <c r="T117" s="280"/>
      <c r="U117" s="280"/>
      <c r="V117" s="280"/>
      <c r="W117" s="280"/>
      <c r="X117" s="280"/>
      <c r="Y117" s="335"/>
      <c r="Z117" s="280"/>
      <c r="AA117" s="281"/>
      <c r="AB117" s="280"/>
      <c r="AC117" s="280"/>
      <c r="AD117" s="280"/>
    </row>
    <row r="118" spans="1:30" ht="9" customHeight="1">
      <c r="A118" s="282"/>
      <c r="B118" s="282"/>
      <c r="C118" s="280"/>
      <c r="D118" s="280"/>
      <c r="E118" s="280"/>
      <c r="F118" s="280"/>
      <c r="G118" s="280"/>
      <c r="H118" s="299"/>
      <c r="I118" s="299"/>
      <c r="J118" s="299"/>
      <c r="K118" s="299"/>
      <c r="L118" s="299"/>
      <c r="M118" s="280"/>
      <c r="N118" s="298"/>
      <c r="O118" s="315"/>
      <c r="P118" s="315"/>
      <c r="Q118" s="315"/>
      <c r="R118" s="315"/>
      <c r="S118" s="280"/>
      <c r="T118" s="280"/>
      <c r="U118" s="280"/>
      <c r="V118" s="280"/>
      <c r="W118" s="280"/>
      <c r="X118" s="280"/>
      <c r="Y118" s="335"/>
      <c r="Z118" s="280"/>
      <c r="AA118" s="281"/>
      <c r="AB118" s="280"/>
      <c r="AC118" s="280"/>
      <c r="AD118" s="280"/>
    </row>
    <row r="119" spans="1:30" ht="9" customHeight="1">
      <c r="A119" s="282"/>
      <c r="B119" s="282"/>
      <c r="C119" s="280"/>
      <c r="D119" s="280"/>
      <c r="E119" s="280"/>
      <c r="F119" s="280"/>
      <c r="G119" s="280"/>
      <c r="H119" s="299"/>
      <c r="I119" s="299"/>
      <c r="J119" s="299"/>
      <c r="K119" s="299"/>
      <c r="L119" s="299"/>
      <c r="M119" s="280"/>
      <c r="N119" s="298"/>
      <c r="O119" s="315"/>
      <c r="P119" s="315"/>
      <c r="Q119" s="315"/>
      <c r="R119" s="315"/>
      <c r="S119" s="280"/>
      <c r="T119" s="280"/>
      <c r="U119" s="280"/>
      <c r="V119" s="280"/>
      <c r="W119" s="280"/>
      <c r="X119" s="280"/>
      <c r="Y119" s="335"/>
      <c r="Z119" s="280"/>
      <c r="AA119" s="281"/>
      <c r="AB119" s="280"/>
      <c r="AC119" s="280"/>
      <c r="AD119" s="280"/>
    </row>
    <row r="120" spans="1:30" ht="9" customHeight="1">
      <c r="A120" s="282"/>
      <c r="B120" s="282"/>
      <c r="C120" s="280"/>
      <c r="D120" s="280"/>
      <c r="E120" s="280"/>
      <c r="F120" s="280"/>
      <c r="G120" s="280"/>
      <c r="H120" s="299"/>
      <c r="I120" s="299"/>
      <c r="J120" s="299"/>
      <c r="K120" s="299"/>
      <c r="L120" s="299"/>
      <c r="M120" s="280"/>
      <c r="N120" s="298"/>
      <c r="O120" s="315"/>
      <c r="P120" s="315"/>
      <c r="Q120" s="315"/>
      <c r="R120" s="315"/>
      <c r="S120" s="280"/>
      <c r="T120" s="280"/>
      <c r="U120" s="280"/>
      <c r="V120" s="280"/>
      <c r="W120" s="280"/>
      <c r="X120" s="280"/>
      <c r="Y120" s="335"/>
      <c r="Z120" s="280"/>
      <c r="AA120" s="281"/>
      <c r="AB120" s="280"/>
      <c r="AC120" s="280"/>
      <c r="AD120" s="280"/>
    </row>
    <row r="121" spans="1:30" ht="9" customHeight="1">
      <c r="A121" s="282"/>
      <c r="B121" s="282"/>
      <c r="C121" s="280"/>
      <c r="D121" s="280"/>
      <c r="E121" s="280"/>
      <c r="F121" s="280"/>
      <c r="G121" s="280"/>
      <c r="H121" s="299"/>
      <c r="I121" s="299"/>
      <c r="J121" s="299"/>
      <c r="K121" s="299"/>
      <c r="L121" s="299"/>
      <c r="M121" s="280"/>
      <c r="N121" s="298"/>
      <c r="O121" s="315"/>
      <c r="P121" s="315"/>
      <c r="Q121" s="315"/>
      <c r="R121" s="315"/>
      <c r="S121" s="280"/>
      <c r="T121" s="280"/>
      <c r="U121" s="280"/>
      <c r="V121" s="280"/>
      <c r="W121" s="280"/>
      <c r="X121" s="280"/>
      <c r="Y121" s="335"/>
      <c r="Z121" s="280"/>
      <c r="AA121" s="281"/>
      <c r="AB121" s="280"/>
      <c r="AC121" s="280"/>
      <c r="AD121" s="280"/>
    </row>
    <row r="122" spans="1:30" ht="9" customHeight="1">
      <c r="A122" s="282"/>
      <c r="B122" s="282"/>
      <c r="C122" s="280"/>
      <c r="D122" s="280"/>
      <c r="E122" s="280"/>
      <c r="F122" s="280"/>
      <c r="G122" s="280"/>
      <c r="H122" s="299"/>
      <c r="I122" s="299"/>
      <c r="J122" s="299"/>
      <c r="K122" s="299"/>
      <c r="L122" s="299"/>
      <c r="M122" s="280"/>
      <c r="N122" s="298"/>
      <c r="O122" s="315"/>
      <c r="P122" s="315"/>
      <c r="Q122" s="315"/>
      <c r="R122" s="315"/>
      <c r="S122" s="280"/>
      <c r="T122" s="280"/>
      <c r="U122" s="280"/>
      <c r="V122" s="280"/>
      <c r="W122" s="280"/>
      <c r="X122" s="280"/>
      <c r="Y122" s="335"/>
      <c r="Z122" s="280"/>
      <c r="AA122" s="281"/>
      <c r="AB122" s="280"/>
      <c r="AC122" s="280"/>
      <c r="AD122" s="280"/>
    </row>
    <row r="123" spans="1:30" ht="9" customHeight="1">
      <c r="A123" s="282"/>
      <c r="B123" s="282"/>
      <c r="C123" s="280"/>
      <c r="D123" s="280"/>
      <c r="E123" s="280"/>
      <c r="F123" s="280"/>
      <c r="G123" s="280"/>
      <c r="H123" s="299"/>
      <c r="I123" s="299"/>
      <c r="J123" s="299"/>
      <c r="K123" s="299"/>
      <c r="L123" s="299"/>
      <c r="M123" s="280"/>
      <c r="N123" s="298"/>
      <c r="O123" s="315"/>
      <c r="P123" s="315"/>
      <c r="Q123" s="315"/>
      <c r="R123" s="315"/>
      <c r="S123" s="280"/>
      <c r="T123" s="280"/>
      <c r="U123" s="280"/>
      <c r="V123" s="280"/>
      <c r="W123" s="280"/>
      <c r="X123" s="280"/>
      <c r="Y123" s="335"/>
      <c r="Z123" s="280"/>
      <c r="AA123" s="281"/>
      <c r="AB123" s="280"/>
      <c r="AC123" s="280"/>
      <c r="AD123" s="280"/>
    </row>
    <row r="124" spans="1:30" ht="9" customHeight="1">
      <c r="A124" s="282"/>
      <c r="B124" s="282"/>
      <c r="C124" s="280"/>
      <c r="D124" s="280"/>
      <c r="E124" s="280"/>
      <c r="F124" s="280"/>
      <c r="G124" s="280"/>
      <c r="H124" s="299"/>
      <c r="I124" s="299"/>
      <c r="J124" s="299"/>
      <c r="K124" s="299"/>
      <c r="L124" s="299"/>
      <c r="M124" s="280"/>
      <c r="N124" s="298"/>
      <c r="O124" s="315"/>
      <c r="P124" s="315"/>
      <c r="Q124" s="315"/>
      <c r="R124" s="315"/>
      <c r="S124" s="280"/>
      <c r="T124" s="280"/>
      <c r="U124" s="280"/>
      <c r="V124" s="280"/>
      <c r="W124" s="280"/>
      <c r="X124" s="280"/>
      <c r="Y124" s="335"/>
      <c r="Z124" s="280"/>
      <c r="AA124" s="281"/>
      <c r="AB124" s="280"/>
      <c r="AC124" s="280"/>
      <c r="AD124" s="280"/>
    </row>
    <row r="125" spans="1:30" ht="9" customHeight="1">
      <c r="A125" s="282"/>
      <c r="B125" s="282"/>
      <c r="C125" s="280"/>
      <c r="D125" s="280"/>
      <c r="E125" s="280"/>
      <c r="F125" s="280"/>
      <c r="G125" s="280"/>
      <c r="H125" s="299"/>
      <c r="I125" s="299"/>
      <c r="J125" s="299"/>
      <c r="K125" s="299"/>
      <c r="L125" s="299"/>
      <c r="M125" s="280"/>
      <c r="N125" s="298"/>
      <c r="O125" s="315"/>
      <c r="P125" s="315"/>
      <c r="Q125" s="315"/>
      <c r="R125" s="315"/>
      <c r="S125" s="280"/>
      <c r="T125" s="280"/>
      <c r="U125" s="280"/>
      <c r="V125" s="280"/>
      <c r="W125" s="280"/>
      <c r="X125" s="280"/>
      <c r="Y125" s="335"/>
      <c r="Z125" s="280"/>
      <c r="AA125" s="281"/>
      <c r="AB125" s="280"/>
      <c r="AC125" s="280"/>
      <c r="AD125" s="280"/>
    </row>
    <row r="126" spans="1:30" ht="9" customHeight="1">
      <c r="A126" s="282"/>
      <c r="B126" s="282"/>
      <c r="C126" s="280"/>
      <c r="D126" s="280"/>
      <c r="E126" s="280"/>
      <c r="F126" s="280"/>
      <c r="G126" s="280"/>
      <c r="H126" s="299"/>
      <c r="I126" s="299"/>
      <c r="J126" s="299"/>
      <c r="K126" s="299"/>
      <c r="L126" s="299"/>
      <c r="M126" s="280"/>
      <c r="N126" s="298"/>
      <c r="O126" s="315"/>
      <c r="P126" s="315"/>
      <c r="Q126" s="315"/>
      <c r="R126" s="315"/>
      <c r="S126" s="280"/>
      <c r="T126" s="280"/>
      <c r="U126" s="280"/>
      <c r="V126" s="280"/>
      <c r="W126" s="280"/>
      <c r="X126" s="280"/>
      <c r="Y126" s="335"/>
      <c r="Z126" s="280"/>
      <c r="AA126" s="281"/>
      <c r="AB126" s="280"/>
      <c r="AC126" s="280"/>
      <c r="AD126" s="280"/>
    </row>
    <row r="127" spans="1:30" ht="9" customHeight="1">
      <c r="A127" s="282"/>
      <c r="B127" s="282"/>
      <c r="C127" s="280"/>
      <c r="D127" s="280"/>
      <c r="E127" s="280"/>
      <c r="F127" s="280"/>
      <c r="G127" s="280"/>
      <c r="H127" s="299"/>
      <c r="I127" s="299"/>
      <c r="J127" s="299"/>
      <c r="K127" s="299"/>
      <c r="L127" s="299"/>
      <c r="M127" s="280"/>
      <c r="N127" s="298"/>
      <c r="O127" s="315"/>
      <c r="P127" s="315"/>
      <c r="Q127" s="315"/>
      <c r="R127" s="315"/>
      <c r="S127" s="280"/>
      <c r="T127" s="280"/>
      <c r="U127" s="280"/>
      <c r="V127" s="280"/>
      <c r="W127" s="280"/>
      <c r="X127" s="280"/>
      <c r="Y127" s="335"/>
      <c r="Z127" s="280"/>
      <c r="AA127" s="281"/>
      <c r="AB127" s="280"/>
      <c r="AC127" s="280"/>
      <c r="AD127" s="280"/>
    </row>
    <row r="128" spans="1:30" ht="9" customHeight="1">
      <c r="A128" s="282"/>
      <c r="B128" s="282"/>
      <c r="C128" s="280"/>
      <c r="D128" s="280"/>
      <c r="E128" s="280"/>
      <c r="F128" s="280"/>
      <c r="G128" s="280"/>
      <c r="H128" s="299"/>
      <c r="I128" s="299"/>
      <c r="J128" s="299"/>
      <c r="K128" s="299"/>
      <c r="L128" s="299"/>
      <c r="M128" s="280"/>
      <c r="N128" s="298"/>
      <c r="O128" s="315"/>
      <c r="P128" s="315"/>
      <c r="Q128" s="315"/>
      <c r="R128" s="315"/>
      <c r="S128" s="280"/>
      <c r="T128" s="280"/>
      <c r="U128" s="280"/>
      <c r="V128" s="280"/>
      <c r="W128" s="280"/>
      <c r="X128" s="280"/>
      <c r="Y128" s="335"/>
      <c r="Z128" s="280"/>
      <c r="AA128" s="281"/>
      <c r="AB128" s="280"/>
      <c r="AC128" s="280"/>
      <c r="AD128" s="280"/>
    </row>
    <row r="129" spans="1:30" ht="9" customHeight="1">
      <c r="A129" s="282"/>
      <c r="B129" s="282"/>
      <c r="C129" s="280"/>
      <c r="D129" s="280"/>
      <c r="E129" s="280"/>
      <c r="F129" s="280"/>
      <c r="G129" s="280"/>
      <c r="H129" s="299"/>
      <c r="I129" s="299"/>
      <c r="J129" s="299"/>
      <c r="K129" s="299"/>
      <c r="L129" s="299"/>
      <c r="M129" s="280"/>
      <c r="N129" s="298"/>
      <c r="O129" s="315"/>
      <c r="P129" s="315"/>
      <c r="Q129" s="315"/>
      <c r="R129" s="315"/>
      <c r="S129" s="280"/>
      <c r="T129" s="280"/>
      <c r="U129" s="280"/>
      <c r="V129" s="280"/>
      <c r="W129" s="280"/>
      <c r="X129" s="280"/>
      <c r="Y129" s="335"/>
      <c r="Z129" s="280"/>
      <c r="AA129" s="281"/>
      <c r="AB129" s="280"/>
      <c r="AC129" s="280"/>
      <c r="AD129" s="280"/>
    </row>
    <row r="130" spans="1:30" ht="9" customHeight="1">
      <c r="A130" s="282"/>
      <c r="B130" s="282"/>
      <c r="C130" s="280"/>
      <c r="D130" s="280"/>
      <c r="E130" s="280"/>
      <c r="F130" s="280"/>
      <c r="G130" s="280"/>
      <c r="H130" s="299"/>
      <c r="I130" s="299"/>
      <c r="J130" s="299"/>
      <c r="K130" s="299"/>
      <c r="L130" s="299"/>
      <c r="M130" s="280"/>
      <c r="N130" s="298"/>
      <c r="O130" s="317"/>
      <c r="P130" s="317"/>
      <c r="Q130" s="317"/>
      <c r="R130" s="317"/>
      <c r="S130" s="280"/>
      <c r="T130" s="280"/>
      <c r="U130" s="280"/>
      <c r="V130" s="280"/>
      <c r="W130" s="280"/>
      <c r="X130" s="280"/>
      <c r="Y130" s="335"/>
      <c r="Z130" s="280"/>
      <c r="AA130" s="281"/>
      <c r="AB130" s="280"/>
      <c r="AC130" s="280"/>
      <c r="AD130" s="280"/>
    </row>
    <row r="131" spans="1:30" ht="9" customHeight="1">
      <c r="A131" s="282"/>
      <c r="B131" s="282"/>
      <c r="C131" s="280"/>
      <c r="D131" s="280"/>
      <c r="E131" s="280"/>
      <c r="F131" s="280"/>
      <c r="G131" s="280"/>
      <c r="H131" s="299"/>
      <c r="I131" s="299"/>
      <c r="J131" s="299"/>
      <c r="K131" s="299"/>
      <c r="L131" s="299"/>
      <c r="M131" s="280"/>
      <c r="N131" s="298"/>
      <c r="O131" s="318"/>
      <c r="P131" s="318"/>
      <c r="Q131" s="318"/>
      <c r="R131" s="318"/>
      <c r="S131" s="280"/>
      <c r="T131" s="280"/>
      <c r="U131" s="280"/>
      <c r="V131" s="280"/>
      <c r="W131" s="280"/>
      <c r="X131" s="280"/>
      <c r="Y131" s="335"/>
      <c r="Z131" s="280"/>
      <c r="AA131" s="281"/>
      <c r="AB131" s="280"/>
      <c r="AC131" s="280"/>
      <c r="AD131" s="280"/>
    </row>
    <row r="132" spans="1:30" ht="9" customHeight="1">
      <c r="A132" s="282"/>
      <c r="B132" s="282"/>
      <c r="C132" s="280"/>
      <c r="D132" s="280"/>
      <c r="E132" s="280"/>
      <c r="F132" s="280"/>
      <c r="G132" s="280"/>
      <c r="H132" s="299"/>
      <c r="I132" s="299"/>
      <c r="J132" s="299"/>
      <c r="K132" s="299"/>
      <c r="L132" s="299"/>
      <c r="M132" s="280"/>
      <c r="N132" s="298"/>
      <c r="O132" s="317"/>
      <c r="P132" s="317"/>
      <c r="Q132" s="317"/>
      <c r="R132" s="317"/>
      <c r="S132" s="280"/>
      <c r="T132" s="280"/>
      <c r="U132" s="280"/>
      <c r="V132" s="280"/>
      <c r="W132" s="280"/>
      <c r="X132" s="280"/>
      <c r="Y132" s="335"/>
      <c r="Z132" s="280"/>
      <c r="AA132" s="281"/>
      <c r="AB132" s="280"/>
      <c r="AC132" s="280"/>
      <c r="AD132" s="280"/>
    </row>
    <row r="133" spans="1:30" ht="9" customHeight="1">
      <c r="A133" s="282"/>
      <c r="B133" s="282"/>
      <c r="C133" s="280"/>
      <c r="D133" s="280"/>
      <c r="E133" s="280"/>
      <c r="F133" s="280"/>
      <c r="G133" s="280"/>
      <c r="H133" s="299"/>
      <c r="I133" s="299"/>
      <c r="J133" s="299"/>
      <c r="K133" s="299"/>
      <c r="L133" s="299"/>
      <c r="M133" s="280"/>
      <c r="N133" s="298"/>
      <c r="O133" s="318"/>
      <c r="P133" s="318"/>
      <c r="Q133" s="318"/>
      <c r="R133" s="318"/>
      <c r="S133" s="280"/>
      <c r="T133" s="280"/>
      <c r="U133" s="280"/>
      <c r="V133" s="280"/>
      <c r="W133" s="280"/>
      <c r="X133" s="280"/>
      <c r="Y133" s="335"/>
      <c r="Z133" s="280"/>
      <c r="AA133" s="281"/>
      <c r="AB133" s="280"/>
      <c r="AC133" s="280"/>
      <c r="AD133" s="280"/>
    </row>
    <row r="134" spans="1:30" ht="9" customHeight="1">
      <c r="A134" s="282"/>
      <c r="B134" s="282"/>
      <c r="C134" s="280"/>
      <c r="D134" s="280"/>
      <c r="E134" s="280"/>
      <c r="F134" s="280"/>
      <c r="G134" s="280"/>
      <c r="H134" s="299"/>
      <c r="I134" s="299"/>
      <c r="J134" s="299"/>
      <c r="K134" s="299"/>
      <c r="L134" s="299"/>
      <c r="M134" s="280"/>
      <c r="N134" s="298"/>
      <c r="O134" s="315"/>
      <c r="P134" s="315"/>
      <c r="Q134" s="315"/>
      <c r="R134" s="315"/>
      <c r="S134" s="280"/>
      <c r="T134" s="280"/>
      <c r="U134" s="280"/>
      <c r="V134" s="280"/>
      <c r="W134" s="280"/>
      <c r="X134" s="280"/>
      <c r="Y134" s="335"/>
      <c r="Z134" s="280"/>
      <c r="AA134" s="281"/>
      <c r="AB134" s="280"/>
      <c r="AC134" s="280"/>
      <c r="AD134" s="280"/>
    </row>
    <row r="135" spans="1:30" ht="9" customHeight="1">
      <c r="A135" s="282"/>
      <c r="B135" s="282"/>
      <c r="C135" s="280"/>
      <c r="D135" s="280"/>
      <c r="E135" s="280"/>
      <c r="F135" s="280"/>
      <c r="G135" s="280"/>
      <c r="H135" s="299"/>
      <c r="I135" s="299"/>
      <c r="J135" s="299"/>
      <c r="K135" s="299"/>
      <c r="L135" s="299"/>
      <c r="M135" s="280"/>
      <c r="N135" s="298"/>
      <c r="O135" s="315"/>
      <c r="P135" s="315"/>
      <c r="Q135" s="315"/>
      <c r="R135" s="315"/>
      <c r="S135" s="280"/>
      <c r="T135" s="280"/>
      <c r="U135" s="280"/>
      <c r="V135" s="280"/>
      <c r="W135" s="280"/>
      <c r="X135" s="280"/>
      <c r="Y135" s="335"/>
      <c r="Z135" s="280"/>
      <c r="AA135" s="281"/>
      <c r="AB135" s="280"/>
      <c r="AC135" s="280"/>
      <c r="AD135" s="280"/>
    </row>
    <row r="136" spans="1:30" ht="9" customHeight="1">
      <c r="A136" s="282"/>
      <c r="B136" s="282"/>
      <c r="C136" s="280"/>
      <c r="D136" s="280"/>
      <c r="E136" s="280"/>
      <c r="F136" s="280"/>
      <c r="G136" s="280"/>
      <c r="H136" s="299"/>
      <c r="I136" s="299"/>
      <c r="J136" s="299"/>
      <c r="K136" s="299"/>
      <c r="L136" s="299"/>
      <c r="M136" s="280"/>
      <c r="N136" s="298"/>
      <c r="O136" s="315"/>
      <c r="P136" s="315"/>
      <c r="Q136" s="315"/>
      <c r="R136" s="315"/>
      <c r="S136" s="280"/>
      <c r="T136" s="280"/>
      <c r="U136" s="280"/>
      <c r="V136" s="280"/>
      <c r="W136" s="280"/>
      <c r="X136" s="280"/>
      <c r="Y136" s="335"/>
      <c r="Z136" s="280"/>
      <c r="AA136" s="281"/>
      <c r="AB136" s="280"/>
      <c r="AC136" s="280"/>
      <c r="AD136" s="280"/>
    </row>
    <row r="137" spans="1:30" ht="9" customHeight="1">
      <c r="A137" s="282"/>
      <c r="B137" s="282"/>
      <c r="C137" s="280"/>
      <c r="D137" s="280"/>
      <c r="E137" s="280"/>
      <c r="F137" s="280"/>
      <c r="G137" s="280"/>
      <c r="H137" s="299"/>
      <c r="I137" s="299"/>
      <c r="J137" s="299"/>
      <c r="K137" s="299"/>
      <c r="L137" s="299"/>
      <c r="M137" s="280"/>
      <c r="N137" s="298"/>
      <c r="O137" s="319"/>
      <c r="P137" s="319"/>
      <c r="Q137" s="319"/>
      <c r="R137" s="319"/>
      <c r="S137" s="280"/>
      <c r="T137" s="280"/>
      <c r="U137" s="280"/>
      <c r="V137" s="280"/>
      <c r="W137" s="280"/>
      <c r="X137" s="280"/>
      <c r="Y137" s="335"/>
      <c r="Z137" s="280"/>
      <c r="AA137" s="281"/>
      <c r="AB137" s="280"/>
      <c r="AC137" s="280"/>
      <c r="AD137" s="280"/>
    </row>
    <row r="138" spans="1:30" ht="9" customHeight="1">
      <c r="A138" s="282"/>
      <c r="B138" s="282"/>
      <c r="C138" s="280"/>
      <c r="D138" s="280"/>
      <c r="E138" s="280"/>
      <c r="F138" s="280"/>
      <c r="G138" s="280"/>
      <c r="H138" s="299"/>
      <c r="I138" s="299"/>
      <c r="J138" s="299"/>
      <c r="K138" s="299"/>
      <c r="L138" s="299"/>
      <c r="M138" s="280"/>
      <c r="N138" s="298"/>
      <c r="O138" s="316"/>
      <c r="P138" s="316"/>
      <c r="Q138" s="316"/>
      <c r="R138" s="316"/>
      <c r="S138" s="280"/>
      <c r="T138" s="280"/>
      <c r="U138" s="280"/>
      <c r="V138" s="280"/>
      <c r="W138" s="280"/>
      <c r="X138" s="280"/>
      <c r="Y138" s="335"/>
      <c r="Z138" s="280"/>
      <c r="AA138" s="281"/>
      <c r="AB138" s="280"/>
      <c r="AC138" s="280"/>
      <c r="AD138" s="280"/>
    </row>
    <row r="139" spans="1:30" ht="9" customHeight="1">
      <c r="A139" s="282"/>
      <c r="B139" s="282"/>
      <c r="C139" s="280"/>
      <c r="D139" s="280"/>
      <c r="E139" s="280"/>
      <c r="F139" s="280"/>
      <c r="G139" s="280"/>
      <c r="H139" s="299"/>
      <c r="I139" s="299"/>
      <c r="J139" s="299"/>
      <c r="K139" s="299"/>
      <c r="L139" s="299"/>
      <c r="M139" s="280"/>
      <c r="N139" s="298"/>
      <c r="O139" s="280"/>
      <c r="P139" s="280"/>
      <c r="Q139" s="280"/>
      <c r="R139" s="280"/>
      <c r="S139" s="280"/>
      <c r="T139" s="280"/>
      <c r="U139" s="280"/>
      <c r="V139" s="280"/>
      <c r="W139" s="280"/>
      <c r="X139" s="280"/>
      <c r="Y139" s="335"/>
      <c r="Z139" s="280"/>
      <c r="AA139" s="281"/>
      <c r="AB139" s="280"/>
      <c r="AC139" s="280"/>
      <c r="AD139" s="280"/>
    </row>
    <row r="140" spans="1:30" ht="9" customHeight="1">
      <c r="A140" s="282"/>
      <c r="B140" s="282"/>
      <c r="C140" s="280"/>
      <c r="D140" s="280"/>
      <c r="E140" s="280"/>
      <c r="F140" s="280"/>
      <c r="G140" s="280"/>
      <c r="H140" s="299"/>
      <c r="I140" s="299"/>
      <c r="J140" s="299"/>
      <c r="K140" s="299"/>
      <c r="L140" s="299"/>
      <c r="M140" s="280"/>
      <c r="N140" s="298"/>
      <c r="O140" s="280"/>
      <c r="P140" s="280"/>
      <c r="Q140" s="280"/>
      <c r="R140" s="280"/>
      <c r="S140" s="280"/>
      <c r="T140" s="280"/>
      <c r="U140" s="280"/>
      <c r="V140" s="280"/>
      <c r="W140" s="280"/>
      <c r="X140" s="280"/>
      <c r="Y140" s="335"/>
      <c r="Z140" s="280"/>
      <c r="AA140" s="281"/>
      <c r="AB140" s="280"/>
      <c r="AC140" s="280"/>
      <c r="AD140" s="280"/>
    </row>
    <row r="141" spans="1:30" ht="9" customHeight="1">
      <c r="A141" s="282"/>
      <c r="B141" s="282"/>
      <c r="C141" s="280"/>
      <c r="D141" s="280"/>
      <c r="E141" s="280"/>
      <c r="F141" s="280"/>
      <c r="G141" s="280"/>
      <c r="H141" s="299"/>
      <c r="I141" s="299"/>
      <c r="J141" s="299"/>
      <c r="K141" s="299"/>
      <c r="L141" s="299"/>
      <c r="M141" s="280"/>
      <c r="N141" s="298"/>
      <c r="O141" s="280"/>
      <c r="P141" s="280"/>
      <c r="Q141" s="280"/>
      <c r="R141" s="280"/>
      <c r="S141" s="280"/>
      <c r="T141" s="280"/>
      <c r="U141" s="280"/>
      <c r="V141" s="280"/>
      <c r="W141" s="280"/>
      <c r="X141" s="280"/>
      <c r="Y141" s="335"/>
      <c r="Z141" s="280"/>
      <c r="AA141" s="281"/>
      <c r="AB141" s="280"/>
      <c r="AC141" s="280"/>
      <c r="AD141" s="280"/>
    </row>
    <row r="142" spans="1:30" ht="9" customHeight="1">
      <c r="A142" s="282"/>
      <c r="B142" s="282"/>
      <c r="C142" s="280"/>
      <c r="D142" s="280"/>
      <c r="E142" s="280"/>
      <c r="F142" s="280"/>
      <c r="G142" s="280"/>
      <c r="H142" s="299"/>
      <c r="I142" s="299"/>
      <c r="J142" s="299"/>
      <c r="K142" s="299"/>
      <c r="L142" s="299"/>
      <c r="M142" s="280"/>
      <c r="N142" s="298"/>
      <c r="O142" s="280"/>
      <c r="P142" s="280"/>
      <c r="Q142" s="280"/>
      <c r="R142" s="280"/>
      <c r="S142" s="280"/>
      <c r="T142" s="280"/>
      <c r="U142" s="280"/>
      <c r="V142" s="280"/>
      <c r="W142" s="280"/>
      <c r="X142" s="280"/>
      <c r="Y142" s="335"/>
      <c r="Z142" s="280"/>
      <c r="AA142" s="281"/>
      <c r="AB142" s="280"/>
      <c r="AC142" s="280"/>
      <c r="AD142" s="280"/>
    </row>
    <row r="143" spans="1:30" ht="9" customHeight="1">
      <c r="A143" s="282"/>
      <c r="B143" s="282"/>
      <c r="C143" s="280"/>
      <c r="D143" s="280"/>
      <c r="E143" s="280"/>
      <c r="F143" s="280"/>
      <c r="G143" s="280"/>
      <c r="H143" s="299"/>
      <c r="I143" s="299"/>
      <c r="J143" s="299"/>
      <c r="K143" s="299"/>
      <c r="L143" s="299"/>
      <c r="M143" s="280"/>
      <c r="N143" s="298"/>
      <c r="O143" s="280"/>
      <c r="P143" s="280"/>
      <c r="Q143" s="280"/>
      <c r="R143" s="280"/>
      <c r="S143" s="280"/>
      <c r="T143" s="280"/>
      <c r="U143" s="280"/>
      <c r="V143" s="280"/>
      <c r="W143" s="280"/>
      <c r="X143" s="280"/>
      <c r="Y143" s="335"/>
      <c r="Z143" s="280"/>
      <c r="AA143" s="281"/>
      <c r="AB143" s="280"/>
      <c r="AC143" s="280"/>
      <c r="AD143" s="280"/>
    </row>
    <row r="144" spans="1:30" ht="9" customHeight="1">
      <c r="A144" s="282"/>
      <c r="B144" s="282"/>
      <c r="C144" s="280"/>
      <c r="D144" s="280"/>
      <c r="E144" s="280"/>
      <c r="F144" s="280"/>
      <c r="G144" s="280"/>
      <c r="H144" s="299"/>
      <c r="I144" s="299"/>
      <c r="J144" s="299"/>
      <c r="K144" s="299"/>
      <c r="L144" s="299"/>
      <c r="M144" s="280"/>
      <c r="N144" s="298"/>
      <c r="O144" s="280"/>
      <c r="P144" s="280"/>
      <c r="Q144" s="280"/>
      <c r="R144" s="280"/>
      <c r="S144" s="280"/>
      <c r="T144" s="280"/>
      <c r="U144" s="280"/>
      <c r="V144" s="280"/>
      <c r="W144" s="280"/>
      <c r="X144" s="280"/>
      <c r="Y144" s="335"/>
      <c r="Z144" s="280"/>
      <c r="AA144" s="281"/>
      <c r="AB144" s="280"/>
      <c r="AC144" s="280"/>
      <c r="AD144" s="280"/>
    </row>
    <row r="145" spans="1:30" ht="9" customHeight="1">
      <c r="A145" s="282"/>
      <c r="B145" s="282"/>
      <c r="C145" s="280"/>
      <c r="D145" s="280"/>
      <c r="E145" s="280"/>
      <c r="F145" s="280"/>
      <c r="G145" s="280"/>
      <c r="H145" s="299"/>
      <c r="I145" s="299"/>
      <c r="J145" s="299"/>
      <c r="K145" s="299"/>
      <c r="L145" s="299"/>
      <c r="M145" s="280"/>
      <c r="N145" s="298"/>
      <c r="O145" s="280"/>
      <c r="P145" s="280"/>
      <c r="Q145" s="280"/>
      <c r="R145" s="280"/>
      <c r="S145" s="280"/>
      <c r="T145" s="280"/>
      <c r="U145" s="280"/>
      <c r="V145" s="280"/>
      <c r="W145" s="280"/>
      <c r="X145" s="280"/>
      <c r="Y145" s="335"/>
      <c r="Z145" s="280"/>
      <c r="AA145" s="281"/>
      <c r="AB145" s="280"/>
      <c r="AC145" s="280"/>
      <c r="AD145" s="280"/>
    </row>
    <row r="146" spans="1:30" ht="9" customHeight="1">
      <c r="A146" s="282"/>
      <c r="B146" s="282"/>
      <c r="C146" s="280"/>
      <c r="D146" s="280"/>
      <c r="E146" s="280"/>
      <c r="F146" s="280"/>
      <c r="G146" s="280"/>
      <c r="H146" s="299"/>
      <c r="I146" s="299"/>
      <c r="J146" s="299"/>
      <c r="K146" s="299"/>
      <c r="L146" s="299"/>
      <c r="M146" s="280"/>
      <c r="N146" s="298"/>
      <c r="O146" s="280"/>
      <c r="P146" s="280"/>
      <c r="Q146" s="280"/>
      <c r="R146" s="280"/>
      <c r="S146" s="280"/>
      <c r="T146" s="280"/>
      <c r="U146" s="280"/>
      <c r="V146" s="280"/>
      <c r="W146" s="280"/>
      <c r="X146" s="280"/>
      <c r="Y146" s="335"/>
      <c r="Z146" s="280"/>
      <c r="AA146" s="281"/>
      <c r="AB146" s="280"/>
      <c r="AC146" s="280"/>
      <c r="AD146" s="280"/>
    </row>
    <row r="147" spans="1:30" ht="9" customHeight="1">
      <c r="A147" s="282"/>
      <c r="B147" s="282"/>
      <c r="C147" s="282"/>
      <c r="D147" s="282"/>
      <c r="E147" s="282"/>
      <c r="F147" s="282"/>
      <c r="G147" s="282"/>
      <c r="H147" s="282"/>
      <c r="I147" s="282"/>
      <c r="J147" s="282"/>
      <c r="K147" s="282"/>
      <c r="L147" s="282"/>
      <c r="M147" s="282"/>
      <c r="N147" s="282"/>
      <c r="O147" s="282"/>
      <c r="P147" s="282"/>
      <c r="Q147" s="282"/>
      <c r="R147" s="282"/>
      <c r="S147" s="282"/>
      <c r="T147" s="282"/>
      <c r="U147" s="282"/>
      <c r="V147" s="282"/>
      <c r="W147" s="282"/>
      <c r="X147" s="282"/>
      <c r="Y147" s="282"/>
      <c r="Z147" s="282"/>
      <c r="AA147" s="282"/>
      <c r="AB147" s="282"/>
      <c r="AC147" s="282"/>
      <c r="AD147" s="282"/>
    </row>
    <row r="148" spans="1:30" ht="90" customHeight="1">
      <c r="A148" s="282" t="s">
        <v>1663</v>
      </c>
      <c r="B148" s="282"/>
      <c r="C148" s="280" t="s">
        <v>2224</v>
      </c>
      <c r="D148" s="280" t="s">
        <v>1565</v>
      </c>
      <c r="E148" s="280" t="s">
        <v>1665</v>
      </c>
      <c r="F148" s="280" t="s">
        <v>2225</v>
      </c>
      <c r="G148" s="280"/>
      <c r="H148" s="280"/>
      <c r="I148" s="321"/>
      <c r="J148" s="321"/>
      <c r="K148" s="321"/>
      <c r="L148" s="321"/>
      <c r="M148" s="300" t="str">
        <f>IF(TEMPLATE_SPHERE="HEAT",T148,IF(TEMPLATE_SPHERE="TKO",X148,U148))</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N148" s="284"/>
      <c r="O148" s="280"/>
      <c r="P148" s="281"/>
      <c r="Q148" s="281"/>
      <c r="R148" s="281"/>
      <c r="S148" s="280"/>
      <c r="T148" s="280" t="s">
        <v>2226</v>
      </c>
      <c r="U148" s="281"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теплоснабжения</v>
      </c>
      <c r="V148" s="281"/>
      <c r="W148" s="281"/>
      <c r="X148" s="280" t="s">
        <v>2227</v>
      </c>
      <c r="Y148" s="335"/>
      <c r="Z148" s="280"/>
      <c r="AA148" s="281"/>
      <c r="AB148" s="280"/>
      <c r="AC148" s="280"/>
      <c r="AD148" s="280"/>
    </row>
    <row r="149" spans="1:30" ht="9" customHeight="1">
      <c r="A149" s="282"/>
      <c r="B149" s="282"/>
      <c r="C149" s="282"/>
      <c r="D149" s="282"/>
      <c r="E149" s="282"/>
      <c r="F149" s="282"/>
      <c r="G149" s="282"/>
      <c r="H149" s="282"/>
      <c r="I149" s="282"/>
      <c r="J149" s="282"/>
      <c r="K149" s="282"/>
      <c r="L149" s="282"/>
      <c r="M149" s="282"/>
      <c r="N149" s="282"/>
      <c r="O149" s="282"/>
      <c r="P149" s="282"/>
      <c r="Q149" s="282"/>
      <c r="R149" s="282"/>
      <c r="S149" s="282"/>
      <c r="T149" s="282"/>
      <c r="U149" s="282"/>
      <c r="V149" s="282"/>
      <c r="W149" s="282"/>
      <c r="X149" s="282"/>
      <c r="Y149" s="282"/>
      <c r="Z149" s="282"/>
      <c r="AA149" s="282"/>
      <c r="AB149" s="282"/>
      <c r="AC149" s="282"/>
      <c r="AD149" s="282"/>
    </row>
    <row r="150" spans="1:30" ht="9" customHeight="1">
      <c r="A150" s="282" t="s">
        <v>1667</v>
      </c>
      <c r="B150" s="282"/>
      <c r="C150" s="280"/>
      <c r="D150" s="280"/>
      <c r="E150" s="280"/>
      <c r="F150" s="280"/>
      <c r="G150" s="280"/>
      <c r="H150" s="280"/>
      <c r="I150" s="280"/>
      <c r="J150" s="280"/>
      <c r="K150" s="280"/>
      <c r="L150" s="280"/>
      <c r="M150" s="280"/>
      <c r="N150" s="280"/>
      <c r="O150" s="280"/>
      <c r="P150" s="280"/>
      <c r="Q150" s="280"/>
      <c r="R150" s="280"/>
      <c r="S150" s="280"/>
      <c r="T150" s="280"/>
      <c r="U150" s="280"/>
      <c r="V150" s="280"/>
      <c r="W150" s="280"/>
      <c r="X150" s="280"/>
      <c r="Y150" s="335"/>
      <c r="Z150" s="280"/>
      <c r="AA150" s="281"/>
      <c r="AB150" s="280"/>
      <c r="AC150" s="280"/>
      <c r="AD150" s="280"/>
    </row>
    <row r="151" spans="1:30" ht="9" customHeight="1">
      <c r="A151" s="282"/>
      <c r="B151" s="282"/>
      <c r="C151" s="282"/>
      <c r="D151" s="282"/>
      <c r="E151" s="282"/>
      <c r="F151" s="282"/>
      <c r="G151" s="282"/>
      <c r="H151" s="282"/>
      <c r="I151" s="282"/>
      <c r="J151" s="282"/>
      <c r="K151" s="282"/>
      <c r="L151" s="282"/>
      <c r="M151" s="282"/>
      <c r="N151" s="282"/>
      <c r="O151" s="282"/>
      <c r="P151" s="282"/>
      <c r="Q151" s="282"/>
      <c r="R151" s="282"/>
      <c r="S151" s="282"/>
      <c r="T151" s="282"/>
      <c r="U151" s="282"/>
      <c r="V151" s="282"/>
      <c r="W151" s="282"/>
      <c r="X151" s="282"/>
      <c r="Y151" s="282"/>
      <c r="Z151" s="282"/>
      <c r="AA151" s="282"/>
      <c r="AB151" s="282"/>
      <c r="AC151" s="282"/>
      <c r="AD151" s="282"/>
    </row>
    <row r="152" spans="1:30" ht="9" customHeight="1">
      <c r="A152" s="282" t="s">
        <v>1670</v>
      </c>
      <c r="B152" s="282"/>
      <c r="C152" s="280"/>
      <c r="D152" s="280"/>
      <c r="E152" s="280"/>
      <c r="F152" s="280"/>
      <c r="G152" s="280"/>
      <c r="H152" s="280"/>
      <c r="I152" s="280"/>
      <c r="J152" s="280"/>
      <c r="K152" s="280"/>
      <c r="L152" s="280"/>
      <c r="M152" s="280"/>
      <c r="N152" s="280"/>
      <c r="O152" s="280"/>
      <c r="P152" s="280"/>
      <c r="Q152" s="280"/>
      <c r="R152" s="280"/>
      <c r="S152" s="280"/>
      <c r="T152" s="280"/>
      <c r="U152" s="280"/>
      <c r="V152" s="280"/>
      <c r="W152" s="280"/>
      <c r="X152" s="280"/>
      <c r="Y152" s="335"/>
      <c r="Z152" s="280"/>
      <c r="AA152" s="281"/>
      <c r="AB152" s="280"/>
      <c r="AC152" s="280"/>
      <c r="AD152" s="280"/>
    </row>
    <row r="153" spans="1:30" ht="9" customHeight="1">
      <c r="A153" s="282"/>
      <c r="B153" s="282"/>
      <c r="C153" s="282"/>
      <c r="D153" s="282"/>
      <c r="E153" s="282"/>
      <c r="F153" s="282"/>
      <c r="G153" s="282"/>
      <c r="H153" s="282"/>
      <c r="I153" s="282"/>
      <c r="J153" s="282"/>
      <c r="K153" s="282"/>
      <c r="L153" s="282"/>
      <c r="M153" s="282"/>
      <c r="N153" s="282"/>
      <c r="O153" s="282"/>
      <c r="P153" s="282"/>
      <c r="Q153" s="282"/>
      <c r="R153" s="282"/>
      <c r="S153" s="282"/>
      <c r="T153" s="282"/>
      <c r="U153" s="282"/>
      <c r="V153" s="282"/>
      <c r="W153" s="282"/>
      <c r="X153" s="282"/>
      <c r="Y153" s="282"/>
      <c r="Z153" s="282"/>
      <c r="AA153" s="282"/>
      <c r="AB153" s="282"/>
      <c r="AC153" s="282"/>
      <c r="AD153" s="282"/>
    </row>
    <row r="154" spans="1:30" ht="9" customHeight="1">
      <c r="A154" s="282" t="s">
        <v>1675</v>
      </c>
      <c r="B154" s="282"/>
      <c r="C154" s="280"/>
      <c r="D154" s="280"/>
      <c r="E154" s="280"/>
      <c r="F154" s="280"/>
      <c r="G154" s="280"/>
      <c r="H154" s="280"/>
      <c r="I154" s="280"/>
      <c r="J154" s="280"/>
      <c r="K154" s="280"/>
      <c r="L154" s="280"/>
      <c r="M154" s="280"/>
      <c r="N154" s="280"/>
      <c r="O154" s="280"/>
      <c r="P154" s="280"/>
      <c r="Q154" s="280"/>
      <c r="R154" s="280"/>
      <c r="S154" s="280"/>
      <c r="T154" s="280"/>
      <c r="U154" s="280"/>
      <c r="V154" s="280"/>
      <c r="W154" s="280"/>
      <c r="X154" s="280"/>
      <c r="Y154" s="335"/>
      <c r="Z154" s="280"/>
      <c r="AA154" s="281"/>
      <c r="AB154" s="280"/>
      <c r="AC154" s="280"/>
      <c r="AD154" s="280"/>
    </row>
  </sheetData>
  <sheetProtection insertRows="0" deleteColumns="0" deleteRows="0" sort="0" autoFilter="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 right="0.7" top="0.75" bottom="0.75" header="0.3" footer="0.3"/>
  <pageSetup paperSize="9" orientation="portrait"/>
  <headerFooter>
    <oddHeader>&amp;L&amp;C&amp;R</oddHeader>
    <oddFooter>&amp;L&amp;C&amp;R</oddFooter>
    <evenHeader>&amp;L&amp;C&amp;R</evenHeader>
    <evenFooter>&amp;L&amp;C&amp;R</evenFooter>
  </headerFooter>
  <legacyDrawing r:id="rId1"/>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EEE522-BE15-D58E-92C5-3ABCF60AAE1A}">
  <sheetPr>
    <tabColor theme="6" tint="0.39997558519241921"/>
  </sheetPr>
  <dimension ref="A1:AD41"/>
  <sheetViews>
    <sheetView showGridLines="0" topLeftCell="I4" workbookViewId="0"/>
  </sheetViews>
  <sheetFormatPr defaultColWidth="10.5703125" defaultRowHeight="14.25" customHeight="1"/>
  <cols>
    <col min="1" max="1" width="10.5703125" style="43" hidden="1"/>
    <col min="2" max="2" width="11" style="43" hidden="1" customWidth="1"/>
    <col min="3" max="3" width="10.5703125" style="43" hidden="1"/>
    <col min="4" max="4" width="11.85546875" style="43" hidden="1" customWidth="1"/>
    <col min="5" max="5" width="12.28515625" style="43" hidden="1" customWidth="1"/>
    <col min="6" max="8" width="12.28515625" style="167" hidden="1" customWidth="1"/>
    <col min="9" max="9" width="3" style="23" customWidth="1"/>
    <col min="10" max="11" width="3" style="20" customWidth="1"/>
    <col min="12" max="12" width="12" style="4" customWidth="1"/>
    <col min="13" max="13" width="31" style="4" customWidth="1"/>
    <col min="14" max="14" width="1" style="4" customWidth="1"/>
    <col min="15" max="18" width="24" style="4" customWidth="1"/>
    <col min="19" max="19" width="11" style="4" customWidth="1"/>
    <col min="20" max="20" width="3.7109375" style="4" customWidth="1"/>
    <col min="21" max="21" width="11" style="4" customWidth="1"/>
    <col min="22" max="22" width="8.5703125" style="4" customWidth="1"/>
    <col min="23" max="23" width="4" style="4" customWidth="1"/>
    <col min="24" max="24" width="115" style="4" customWidth="1"/>
    <col min="25" max="29" width="10" style="46" customWidth="1"/>
    <col min="30" max="30" width="10.5703125" style="4" hidden="1"/>
  </cols>
  <sheetData>
    <row r="1" spans="1:30" ht="22.5" hidden="1" customHeight="1">
      <c r="AD1" s="4" t="s">
        <v>14</v>
      </c>
    </row>
    <row r="2" spans="1:30" ht="14.25" hidden="1" customHeight="1">
      <c r="AD2" s="4">
        <v>0</v>
      </c>
    </row>
    <row r="3" spans="1:30" ht="14.25" hidden="1" customHeight="1">
      <c r="AD3" s="4">
        <v>0</v>
      </c>
    </row>
    <row r="4" spans="1:30" ht="14.65" customHeight="1">
      <c r="J4" s="19"/>
      <c r="K4" s="19"/>
      <c r="L4" s="6"/>
      <c r="M4" s="6"/>
      <c r="N4" s="6"/>
      <c r="AD4" s="4">
        <v>14</v>
      </c>
    </row>
    <row r="5" spans="1:30" ht="67.150000000000006" customHeight="1">
      <c r="J5" s="19"/>
      <c r="K5" s="19"/>
      <c r="L5" s="894" t="s">
        <v>2228</v>
      </c>
      <c r="M5" s="894"/>
      <c r="N5" s="894"/>
      <c r="O5" s="894"/>
      <c r="P5" s="894"/>
      <c r="Q5" s="894"/>
      <c r="R5" s="894"/>
      <c r="S5" s="894"/>
      <c r="T5" s="894"/>
      <c r="U5" s="894"/>
      <c r="V5" s="40"/>
      <c r="AD5" s="4">
        <v>64</v>
      </c>
    </row>
    <row r="6" spans="1:30" ht="14.65" customHeight="1">
      <c r="J6" s="19"/>
      <c r="K6" s="19"/>
      <c r="L6" s="895" t="str">
        <f>IF(org=0,"Не определено",org)</f>
        <v>ООО "Восточная Тепловая компания"</v>
      </c>
      <c r="M6" s="895"/>
      <c r="N6" s="895"/>
      <c r="O6" s="895"/>
      <c r="P6" s="895"/>
      <c r="Q6" s="895"/>
      <c r="R6" s="895"/>
      <c r="S6" s="895"/>
      <c r="T6" s="895"/>
      <c r="U6" s="895"/>
      <c r="V6" s="40"/>
      <c r="AD6" s="4">
        <v>14</v>
      </c>
    </row>
    <row r="7" spans="1:30" ht="14.65" customHeight="1">
      <c r="J7" s="19"/>
      <c r="K7" s="19"/>
      <c r="L7" s="6"/>
      <c r="M7" s="6"/>
      <c r="N7" s="6"/>
      <c r="O7" s="109"/>
      <c r="P7" s="109"/>
      <c r="Q7" s="109"/>
      <c r="R7" s="109"/>
      <c r="S7" s="109"/>
      <c r="T7" s="109"/>
      <c r="U7" s="109"/>
      <c r="V7" s="109"/>
      <c r="AD7" s="4">
        <v>14</v>
      </c>
    </row>
    <row r="8" spans="1:30" s="22" customFormat="1" ht="48.2" customHeight="1">
      <c r="A8" s="43"/>
      <c r="B8" s="43"/>
      <c r="C8" s="43"/>
      <c r="D8" s="43"/>
      <c r="E8" s="43"/>
      <c r="F8" s="43"/>
      <c r="G8" s="43"/>
      <c r="H8" s="43"/>
      <c r="M8" s="99" t="s">
        <v>42</v>
      </c>
      <c r="N8" s="103"/>
      <c r="O8" s="741" t="str">
        <f>IF(TITLE_NAME_OR_PR_CHANGE="",IF(TITLE_NAME_OR_PR="","",TITLE_NAME_OR_PR),TITLE_NAME_OR_PR_CHANGE)</f>
        <v/>
      </c>
      <c r="P8" s="741"/>
      <c r="Q8" s="741"/>
      <c r="R8" s="741"/>
      <c r="S8" s="741"/>
      <c r="T8" s="741"/>
      <c r="U8" s="741"/>
      <c r="V8" s="4"/>
      <c r="W8" s="4"/>
      <c r="X8" s="96"/>
      <c r="Y8" s="46"/>
      <c r="Z8" s="46"/>
      <c r="AA8" s="46"/>
      <c r="AB8" s="46"/>
      <c r="AC8" s="46"/>
      <c r="AD8" s="22">
        <v>46</v>
      </c>
    </row>
    <row r="9" spans="1:30" s="22" customFormat="1" ht="24" customHeight="1">
      <c r="A9" s="43"/>
      <c r="B9" s="43"/>
      <c r="C9" s="43"/>
      <c r="D9" s="43"/>
      <c r="E9" s="43"/>
      <c r="F9" s="43"/>
      <c r="G9" s="43"/>
      <c r="H9" s="43"/>
      <c r="M9" s="99" t="s">
        <v>426</v>
      </c>
      <c r="N9" s="103"/>
      <c r="O9" s="741" t="str">
        <f>IF(TITLE_DATE_CHANGE_PERIOD="",IF(TITLE_DATE_PR="","",TITLE_DATE_PR),TITLE_DATE_CHANGE_PERIOD)</f>
        <v/>
      </c>
      <c r="P9" s="741"/>
      <c r="Q9" s="741"/>
      <c r="R9" s="741"/>
      <c r="S9" s="741"/>
      <c r="T9" s="741"/>
      <c r="U9" s="741"/>
      <c r="V9" s="4"/>
      <c r="W9" s="4"/>
      <c r="X9" s="96"/>
      <c r="Y9" s="46"/>
      <c r="Z9" s="46"/>
      <c r="AA9" s="46"/>
      <c r="AB9" s="46"/>
      <c r="AC9" s="46"/>
      <c r="AD9" s="22">
        <v>23</v>
      </c>
    </row>
    <row r="10" spans="1:30" s="22" customFormat="1" ht="24" customHeight="1">
      <c r="A10" s="43"/>
      <c r="B10" s="43"/>
      <c r="C10" s="43"/>
      <c r="D10" s="43"/>
      <c r="E10" s="43"/>
      <c r="F10" s="43"/>
      <c r="G10" s="43"/>
      <c r="H10" s="43"/>
      <c r="L10" s="4"/>
      <c r="M10" s="99" t="s">
        <v>427</v>
      </c>
      <c r="N10" s="103"/>
      <c r="O10" s="741" t="str">
        <f>IF(TITLE_NUMBER_PR_CHANGE="",IF(TITLE_NUMBER_PR="","",TITLE_NUMBER_PR),TITLE_NUMBER_PR_CHANGE)</f>
        <v/>
      </c>
      <c r="P10" s="741"/>
      <c r="Q10" s="741"/>
      <c r="R10" s="741"/>
      <c r="S10" s="741"/>
      <c r="T10" s="741"/>
      <c r="U10" s="741"/>
      <c r="V10" s="4"/>
      <c r="W10" s="4"/>
      <c r="X10" s="96"/>
      <c r="Y10" s="46"/>
      <c r="Z10" s="46"/>
      <c r="AA10" s="46"/>
      <c r="AB10" s="46"/>
      <c r="AC10" s="46"/>
      <c r="AD10" s="22">
        <v>23</v>
      </c>
    </row>
    <row r="11" spans="1:30" s="22" customFormat="1" ht="24" customHeight="1">
      <c r="A11" s="43"/>
      <c r="B11" s="43"/>
      <c r="C11" s="43"/>
      <c r="D11" s="43"/>
      <c r="E11" s="43"/>
      <c r="F11" s="43"/>
      <c r="G11" s="43"/>
      <c r="H11" s="43"/>
      <c r="L11" s="4"/>
      <c r="M11" s="99" t="s">
        <v>43</v>
      </c>
      <c r="N11" s="103"/>
      <c r="O11" s="741" t="str">
        <f>IF(TITLE_IST_PUB_CHANGE="",IF(TITLE_IST_PUB="","",TITLE_IST_PUB),TITLE_IST_PUB_CHANGE)</f>
        <v/>
      </c>
      <c r="P11" s="741"/>
      <c r="Q11" s="741"/>
      <c r="R11" s="741"/>
      <c r="S11" s="741"/>
      <c r="T11" s="741"/>
      <c r="U11" s="741"/>
      <c r="V11" s="4"/>
      <c r="W11" s="4"/>
      <c r="X11" s="96"/>
      <c r="Y11" s="46"/>
      <c r="Z11" s="46"/>
      <c r="AA11" s="46"/>
      <c r="AB11" s="46"/>
      <c r="AC11" s="46"/>
      <c r="AD11" s="22">
        <v>23</v>
      </c>
    </row>
    <row r="12" spans="1:30" s="22" customFormat="1" ht="11.25" hidden="1" customHeight="1">
      <c r="A12" s="43"/>
      <c r="B12" s="43"/>
      <c r="C12" s="43"/>
      <c r="D12" s="43"/>
      <c r="E12" s="43"/>
      <c r="F12" s="43"/>
      <c r="G12" s="43"/>
      <c r="H12" s="43"/>
      <c r="L12" s="665"/>
      <c r="M12" s="665"/>
      <c r="N12" s="4"/>
      <c r="O12" s="4"/>
      <c r="P12" s="4"/>
      <c r="Q12" s="4"/>
      <c r="R12" s="4"/>
      <c r="S12" s="4"/>
      <c r="T12" s="4"/>
      <c r="U12" s="4"/>
      <c r="V12" s="46" t="s">
        <v>430</v>
      </c>
      <c r="Y12" s="46"/>
      <c r="Z12" s="46"/>
      <c r="AA12" s="46"/>
      <c r="AB12" s="46"/>
      <c r="AC12" s="46"/>
      <c r="AD12" s="22">
        <v>0</v>
      </c>
    </row>
    <row r="13" spans="1:30" ht="14.65" customHeight="1">
      <c r="J13" s="19"/>
      <c r="K13" s="19"/>
      <c r="L13" s="6"/>
      <c r="M13" s="6"/>
      <c r="N13" s="420"/>
      <c r="O13" s="755"/>
      <c r="P13" s="755"/>
      <c r="Q13" s="755"/>
      <c r="R13" s="755"/>
      <c r="S13" s="755"/>
      <c r="T13" s="755"/>
      <c r="U13" s="755"/>
      <c r="V13" s="755"/>
      <c r="AD13" s="4">
        <v>14</v>
      </c>
    </row>
    <row r="14" spans="1:30" ht="14.65" customHeight="1">
      <c r="J14" s="19"/>
      <c r="K14" s="19"/>
      <c r="L14" s="679" t="s">
        <v>303</v>
      </c>
      <c r="M14" s="679"/>
      <c r="N14" s="679"/>
      <c r="O14" s="679"/>
      <c r="P14" s="679"/>
      <c r="Q14" s="679"/>
      <c r="R14" s="679"/>
      <c r="S14" s="679"/>
      <c r="T14" s="679"/>
      <c r="U14" s="679"/>
      <c r="V14" s="679"/>
      <c r="W14" s="679"/>
      <c r="X14" s="679" t="s">
        <v>304</v>
      </c>
      <c r="AD14" s="4">
        <v>14</v>
      </c>
    </row>
    <row r="15" spans="1:30" ht="14.65" customHeight="1">
      <c r="J15" s="19"/>
      <c r="K15" s="19"/>
      <c r="L15" s="722" t="s">
        <v>88</v>
      </c>
      <c r="M15" s="722" t="s">
        <v>431</v>
      </c>
      <c r="N15" s="100"/>
      <c r="O15" s="756" t="s">
        <v>2229</v>
      </c>
      <c r="P15" s="757"/>
      <c r="Q15" s="757"/>
      <c r="R15" s="757"/>
      <c r="S15" s="757"/>
      <c r="T15" s="757"/>
      <c r="U15" s="758"/>
      <c r="V15" s="724" t="s">
        <v>433</v>
      </c>
      <c r="W15" s="759" t="s">
        <v>1149</v>
      </c>
      <c r="X15" s="679"/>
      <c r="AD15" s="4">
        <v>14</v>
      </c>
    </row>
    <row r="16" spans="1:30" ht="35.65" customHeight="1">
      <c r="J16" s="19"/>
      <c r="K16" s="19"/>
      <c r="L16" s="722"/>
      <c r="M16" s="722"/>
      <c r="N16" s="349"/>
      <c r="O16" s="673" t="s">
        <v>436</v>
      </c>
      <c r="P16" s="673" t="s">
        <v>437</v>
      </c>
      <c r="Q16" s="662" t="s">
        <v>438</v>
      </c>
      <c r="R16" s="661"/>
      <c r="S16" s="662" t="s">
        <v>452</v>
      </c>
      <c r="T16" s="666"/>
      <c r="U16" s="661"/>
      <c r="V16" s="725"/>
      <c r="W16" s="760"/>
      <c r="X16" s="679"/>
      <c r="AD16" s="4">
        <v>34</v>
      </c>
    </row>
    <row r="17" spans="1:30" ht="35.65" customHeight="1">
      <c r="A17" s="43" t="s">
        <v>139</v>
      </c>
      <c r="B17" s="43" t="s">
        <v>140</v>
      </c>
      <c r="C17" s="43" t="s">
        <v>141</v>
      </c>
      <c r="D17" s="43" t="s">
        <v>142</v>
      </c>
      <c r="J17" s="19"/>
      <c r="K17" s="19"/>
      <c r="L17" s="722"/>
      <c r="M17" s="722"/>
      <c r="N17" s="101"/>
      <c r="O17" s="676"/>
      <c r="P17" s="676"/>
      <c r="Q17" s="27" t="s">
        <v>447</v>
      </c>
      <c r="R17" s="27" t="s">
        <v>448</v>
      </c>
      <c r="S17" s="27" t="s">
        <v>449</v>
      </c>
      <c r="T17" s="728" t="s">
        <v>450</v>
      </c>
      <c r="U17" s="734"/>
      <c r="V17" s="726"/>
      <c r="W17" s="761"/>
      <c r="X17" s="679"/>
      <c r="AD17" s="4">
        <v>34</v>
      </c>
    </row>
    <row r="18" spans="1:30" s="117" customFormat="1" ht="11.45" customHeight="1">
      <c r="A18" s="43"/>
      <c r="B18" s="43"/>
      <c r="C18" s="43"/>
      <c r="D18" s="43"/>
      <c r="E18" s="43"/>
      <c r="F18" s="167"/>
      <c r="G18" s="167"/>
      <c r="H18" s="167"/>
      <c r="I18" s="178"/>
      <c r="J18" s="422"/>
      <c r="K18" s="424">
        <v>1</v>
      </c>
      <c r="L18" s="425" t="s">
        <v>110</v>
      </c>
      <c r="M18" s="425" t="s">
        <v>111</v>
      </c>
      <c r="N18" s="421" t="str">
        <f ca="1">OFFSET(N18,0,-1)</f>
        <v>2</v>
      </c>
      <c r="O18" s="426">
        <f ca="1">OFFSET(O18,0,-1)+1</f>
        <v>3</v>
      </c>
      <c r="P18" s="426"/>
      <c r="Q18" s="426">
        <f ca="1">OFFSET(Q18,0,-1)+1</f>
        <v>1</v>
      </c>
      <c r="R18" s="426">
        <f ca="1">OFFSET(R18,0,-1)+1</f>
        <v>2</v>
      </c>
      <c r="S18" s="426">
        <f ca="1">OFFSET(S18,0,-1)+1</f>
        <v>3</v>
      </c>
      <c r="T18" s="754">
        <f ca="1">OFFSET(T18,0,-1)+1</f>
        <v>4</v>
      </c>
      <c r="U18" s="754"/>
      <c r="V18" s="426">
        <f ca="1">OFFSET(V18,0,-2)+1</f>
        <v>5</v>
      </c>
      <c r="W18" s="421">
        <f ca="1">OFFSET(W18,0,-1)</f>
        <v>5</v>
      </c>
      <c r="X18" s="426">
        <f ca="1">OFFSET(X18,0,-1)+1</f>
        <v>6</v>
      </c>
      <c r="Y18" s="46"/>
      <c r="Z18" s="46"/>
      <c r="AA18" s="46"/>
      <c r="AB18" s="46"/>
      <c r="AC18" s="46"/>
      <c r="AD18" s="117">
        <v>11</v>
      </c>
    </row>
    <row r="19" spans="1:30" ht="21" customHeight="1">
      <c r="A19" s="43" t="s">
        <v>173</v>
      </c>
      <c r="B19" s="43" t="s">
        <v>174</v>
      </c>
      <c r="C19" s="43" t="s">
        <v>175</v>
      </c>
      <c r="D19" s="43" t="s">
        <v>176</v>
      </c>
      <c r="F19" s="43"/>
      <c r="G19" s="43"/>
      <c r="H19" s="43"/>
      <c r="J19" s="4"/>
      <c r="K19" s="119"/>
      <c r="L19" s="24">
        <f>INDEX(PT_DIFFERENTIATION_NUM_NTAR,MATCH(A19,PT_DIFFERENTIATION_NTAR_ID,0))</f>
        <v>0</v>
      </c>
      <c r="M19" s="29" t="s">
        <v>128</v>
      </c>
      <c r="N19" s="29"/>
      <c r="O19" s="893" t="str">
        <f>INDEX(PT_DIFFERENTIATION_NTAR,MATCH(A19,PT_DIFFERENTIATION_NTAR_ID,0))</f>
        <v/>
      </c>
      <c r="P19" s="893"/>
      <c r="Q19" s="893"/>
      <c r="R19" s="893"/>
      <c r="S19" s="893"/>
      <c r="T19" s="893"/>
      <c r="U19" s="893"/>
      <c r="V19" s="893"/>
      <c r="W19" s="893"/>
      <c r="X19" s="428" t="s">
        <v>399</v>
      </c>
      <c r="AA19" s="46" t="str">
        <f t="shared" ref="AA19:AA32" si="0">IF(M19="","",M19)</f>
        <v>Наименование тарифа</v>
      </c>
      <c r="AD19" s="4">
        <v>20</v>
      </c>
    </row>
    <row r="20" spans="1:30" ht="21" customHeight="1">
      <c r="A20" s="43" t="s">
        <v>173</v>
      </c>
      <c r="B20" s="43" t="s">
        <v>174</v>
      </c>
      <c r="C20" s="43" t="s">
        <v>175</v>
      </c>
      <c r="D20" s="43" t="s">
        <v>176</v>
      </c>
      <c r="F20" s="43"/>
      <c r="G20" s="43"/>
      <c r="H20" s="43"/>
      <c r="I20" s="4"/>
      <c r="J20" s="118"/>
      <c r="K20" s="119"/>
      <c r="L20" s="24" t="str">
        <f>INDEX(PT_DIFFERENTIATION_NUM_TER,MATCH(B19,PT_DIFFERENTIATION_TER_ID,0))</f>
        <v>.</v>
      </c>
      <c r="M20" s="24" t="s">
        <v>400</v>
      </c>
      <c r="N20" s="29"/>
      <c r="O20" s="893" t="str">
        <f>INDEX(PT_DIFFERENTIATION_TER,MATCH(B19,PT_DIFFERENTIATION_TER_ID,0))</f>
        <v/>
      </c>
      <c r="P20" s="893"/>
      <c r="Q20" s="893"/>
      <c r="R20" s="893"/>
      <c r="S20" s="893"/>
      <c r="T20" s="893"/>
      <c r="U20" s="893"/>
      <c r="V20" s="893"/>
      <c r="W20" s="893"/>
      <c r="X20" s="428" t="s">
        <v>401</v>
      </c>
      <c r="AA20" s="46" t="str">
        <f t="shared" si="0"/>
        <v>Территория действия тарифа</v>
      </c>
      <c r="AD20" s="4">
        <v>20</v>
      </c>
    </row>
    <row r="21" spans="1:30" ht="24" customHeight="1">
      <c r="A21" s="43" t="s">
        <v>173</v>
      </c>
      <c r="B21" s="43" t="s">
        <v>174</v>
      </c>
      <c r="C21" s="43" t="s">
        <v>175</v>
      </c>
      <c r="D21" s="43" t="s">
        <v>176</v>
      </c>
      <c r="F21" s="43"/>
      <c r="G21" s="43"/>
      <c r="H21" s="43"/>
      <c r="I21" s="16"/>
      <c r="J21" s="118"/>
      <c r="K21" s="119"/>
      <c r="L21" s="24" t="str">
        <f>INDEX(PT_DIFFERENTIATION_NUM_CS,MATCH(C19,PT_DIFFERENTIATION_CS_ID,0))</f>
        <v>..</v>
      </c>
      <c r="M21" s="24" t="s">
        <v>402</v>
      </c>
      <c r="N21" s="29"/>
      <c r="O21" s="893" t="str">
        <f>INDEX(PT_DIFFERENTIATION_CS,MATCH(C19,PT_DIFFERENTIATION_CS_ID,0))</f>
        <v/>
      </c>
      <c r="P21" s="893"/>
      <c r="Q21" s="893"/>
      <c r="R21" s="893"/>
      <c r="S21" s="893"/>
      <c r="T21" s="893"/>
      <c r="U21" s="893"/>
      <c r="V21" s="893"/>
      <c r="W21" s="893"/>
      <c r="X21" s="428" t="s">
        <v>403</v>
      </c>
      <c r="AA21" s="46" t="str">
        <f t="shared" si="0"/>
        <v xml:space="preserve">Наименование системы теплоснабжения </v>
      </c>
      <c r="AD21" s="4">
        <v>23</v>
      </c>
    </row>
    <row r="22" spans="1:30" ht="21" customHeight="1">
      <c r="A22" s="43" t="s">
        <v>173</v>
      </c>
      <c r="B22" s="43" t="s">
        <v>174</v>
      </c>
      <c r="C22" s="43" t="s">
        <v>175</v>
      </c>
      <c r="D22" s="43" t="s">
        <v>176</v>
      </c>
      <c r="F22" s="43"/>
      <c r="G22" s="43"/>
      <c r="H22" s="43"/>
      <c r="I22" s="16"/>
      <c r="J22" s="118"/>
      <c r="K22" s="119"/>
      <c r="L22" s="24" t="str">
        <f>INDEX(PT_DIFFERENTIATION_NUM_IST_TE,MATCH(D19,PT_DIFFERENTIATION_IST_TE_ID,0))</f>
        <v>...</v>
      </c>
      <c r="M22" s="24" t="s">
        <v>404</v>
      </c>
      <c r="N22" s="29"/>
      <c r="O22" s="893" t="str">
        <f>INDEX(PT_DIFFERENTIATION_IST_TE,MATCH(D19,PT_DIFFERENTIATION_IST_TE_ID,0))</f>
        <v/>
      </c>
      <c r="P22" s="893"/>
      <c r="Q22" s="893"/>
      <c r="R22" s="893"/>
      <c r="S22" s="893"/>
      <c r="T22" s="893"/>
      <c r="U22" s="893"/>
      <c r="V22" s="893"/>
      <c r="W22" s="893"/>
      <c r="X22" s="428" t="s">
        <v>405</v>
      </c>
      <c r="AA22" s="46" t="str">
        <f t="shared" si="0"/>
        <v xml:space="preserve">Источник тепловой энергии  </v>
      </c>
      <c r="AD22" s="4">
        <v>20</v>
      </c>
    </row>
    <row r="23" spans="1:30" ht="96.75" customHeight="1">
      <c r="A23" s="43" t="s">
        <v>173</v>
      </c>
      <c r="B23" s="43" t="s">
        <v>174</v>
      </c>
      <c r="C23" s="43" t="s">
        <v>175</v>
      </c>
      <c r="D23" s="43" t="s">
        <v>176</v>
      </c>
      <c r="F23" s="732" t="str">
        <f>L22&amp;".1"</f>
        <v>....1</v>
      </c>
      <c r="I23" s="748">
        <v>1</v>
      </c>
      <c r="J23" s="46"/>
      <c r="K23" s="120"/>
      <c r="L23" s="24" t="str">
        <f>$F$23</f>
        <v>....1</v>
      </c>
      <c r="M23" s="24" t="s">
        <v>407</v>
      </c>
      <c r="N23" s="29"/>
      <c r="O23" s="688"/>
      <c r="P23" s="688"/>
      <c r="Q23" s="688"/>
      <c r="R23" s="688"/>
      <c r="S23" s="688"/>
      <c r="T23" s="688"/>
      <c r="U23" s="688"/>
      <c r="V23" s="688"/>
      <c r="W23" s="688"/>
      <c r="X23" s="428" t="s">
        <v>408</v>
      </c>
      <c r="AA23" s="46" t="str">
        <f t="shared" si="0"/>
        <v>Схема подключения теплопотребляющей установки к коллектору источника тепловой энергии</v>
      </c>
      <c r="AD23" s="4">
        <v>92</v>
      </c>
    </row>
    <row r="24" spans="1:30" ht="86.25" customHeight="1">
      <c r="A24" s="43" t="s">
        <v>173</v>
      </c>
      <c r="B24" s="43" t="s">
        <v>174</v>
      </c>
      <c r="C24" s="43" t="s">
        <v>175</v>
      </c>
      <c r="D24" s="43" t="s">
        <v>176</v>
      </c>
      <c r="F24" s="732"/>
      <c r="G24" s="732" t="str">
        <f>F23&amp;".1"</f>
        <v>....1.1</v>
      </c>
      <c r="I24" s="748"/>
      <c r="J24" s="748">
        <v>1</v>
      </c>
      <c r="K24" s="120"/>
      <c r="L24" s="24" t="str">
        <f>$G$24</f>
        <v>....1.1</v>
      </c>
      <c r="M24" s="24" t="s">
        <v>410</v>
      </c>
      <c r="N24" s="29"/>
      <c r="O24" s="737"/>
      <c r="P24" s="738"/>
      <c r="Q24" s="738"/>
      <c r="R24" s="738"/>
      <c r="S24" s="738"/>
      <c r="T24" s="738"/>
      <c r="U24" s="738"/>
      <c r="V24" s="738"/>
      <c r="W24" s="739"/>
      <c r="X24" s="428" t="s">
        <v>411</v>
      </c>
      <c r="AA24" s="46" t="str">
        <f t="shared" si="0"/>
        <v>Группа потребителей</v>
      </c>
      <c r="AD24" s="4">
        <v>82</v>
      </c>
    </row>
    <row r="25" spans="1:30" ht="11.45" customHeight="1">
      <c r="A25" s="43" t="s">
        <v>173</v>
      </c>
      <c r="B25" s="43" t="s">
        <v>174</v>
      </c>
      <c r="C25" s="43" t="s">
        <v>175</v>
      </c>
      <c r="D25" s="43" t="s">
        <v>176</v>
      </c>
      <c r="F25" s="732"/>
      <c r="G25" s="732"/>
      <c r="H25" s="732" t="str">
        <f>G24&amp;".1"</f>
        <v>....1.1.1</v>
      </c>
      <c r="I25" s="748"/>
      <c r="J25" s="748"/>
      <c r="K25" s="120">
        <v>1</v>
      </c>
      <c r="L25" s="24" t="str">
        <f>$H$25</f>
        <v>....1.1.1</v>
      </c>
      <c r="M25" s="356"/>
      <c r="N25" s="29"/>
      <c r="O25" s="168"/>
      <c r="P25" s="110"/>
      <c r="Q25" s="168"/>
      <c r="R25" s="427"/>
      <c r="S25" s="749"/>
      <c r="T25" s="688" t="s">
        <v>66</v>
      </c>
      <c r="U25" s="749"/>
      <c r="V25" s="688" t="s">
        <v>19</v>
      </c>
      <c r="W25" s="110"/>
      <c r="X25" s="762" t="s">
        <v>413</v>
      </c>
      <c r="Y25" s="46" t="e">
        <f ca="1">STRCHECKDATE(O26:W26)</f>
        <v>#NAME?</v>
      </c>
      <c r="AA25" s="46" t="str">
        <f t="shared" si="0"/>
        <v/>
      </c>
      <c r="AD25" s="4">
        <v>11</v>
      </c>
    </row>
    <row r="26" spans="1:30" ht="11.45" customHeight="1">
      <c r="A26" s="43" t="s">
        <v>173</v>
      </c>
      <c r="B26" s="43" t="s">
        <v>174</v>
      </c>
      <c r="C26" s="43" t="s">
        <v>175</v>
      </c>
      <c r="D26" s="43" t="s">
        <v>176</v>
      </c>
      <c r="F26" s="732"/>
      <c r="G26" s="732"/>
      <c r="H26" s="732"/>
      <c r="I26" s="748"/>
      <c r="J26" s="748"/>
      <c r="K26" s="120"/>
      <c r="L26" s="31"/>
      <c r="M26" s="29"/>
      <c r="N26" s="29"/>
      <c r="O26" s="110"/>
      <c r="P26" s="110"/>
      <c r="Q26" s="110"/>
      <c r="R26" s="111" t="str">
        <f>S25&amp;"-"&amp;U25</f>
        <v>-</v>
      </c>
      <c r="S26" s="707"/>
      <c r="T26" s="688"/>
      <c r="U26" s="707"/>
      <c r="V26" s="688"/>
      <c r="W26" s="110"/>
      <c r="X26" s="763"/>
      <c r="AA26" s="46" t="str">
        <f t="shared" si="0"/>
        <v/>
      </c>
      <c r="AD26" s="4">
        <v>11</v>
      </c>
    </row>
    <row r="27" spans="1:30" ht="15.75" customHeight="1">
      <c r="A27" s="43" t="s">
        <v>173</v>
      </c>
      <c r="B27" s="43" t="s">
        <v>174</v>
      </c>
      <c r="C27" s="43" t="s">
        <v>175</v>
      </c>
      <c r="D27" s="43" t="s">
        <v>176</v>
      </c>
      <c r="F27" s="732"/>
      <c r="G27" s="732"/>
      <c r="I27" s="748"/>
      <c r="J27" s="748"/>
      <c r="K27" s="120"/>
      <c r="L27" s="434"/>
      <c r="M27" s="37" t="s">
        <v>414</v>
      </c>
      <c r="N27" s="58"/>
      <c r="O27" s="58"/>
      <c r="P27" s="58"/>
      <c r="Q27" s="58"/>
      <c r="R27" s="58"/>
      <c r="S27" s="58"/>
      <c r="T27" s="58"/>
      <c r="U27" s="58"/>
      <c r="V27" s="58"/>
      <c r="W27" s="59"/>
      <c r="X27" s="764"/>
      <c r="AA27" s="46" t="str">
        <f t="shared" si="0"/>
        <v>Добавить вид теплоносителя (параметры теплоносителя)</v>
      </c>
      <c r="AD27" s="4">
        <v>15</v>
      </c>
    </row>
    <row r="28" spans="1:30" ht="15.75" customHeight="1">
      <c r="A28" s="43" t="s">
        <v>173</v>
      </c>
      <c r="B28" s="43" t="s">
        <v>174</v>
      </c>
      <c r="C28" s="43" t="s">
        <v>175</v>
      </c>
      <c r="D28" s="43" t="s">
        <v>176</v>
      </c>
      <c r="F28" s="732"/>
      <c r="I28" s="748"/>
      <c r="J28" s="46"/>
      <c r="K28" s="120"/>
      <c r="L28" s="434"/>
      <c r="M28" s="37" t="s">
        <v>415</v>
      </c>
      <c r="N28" s="58"/>
      <c r="O28" s="58"/>
      <c r="P28" s="58"/>
      <c r="Q28" s="58"/>
      <c r="R28" s="58"/>
      <c r="S28" s="58"/>
      <c r="T28" s="58"/>
      <c r="U28" s="58"/>
      <c r="V28" s="54"/>
      <c r="W28" s="58"/>
      <c r="X28" s="102"/>
      <c r="AA28" s="46" t="str">
        <f t="shared" si="0"/>
        <v>Добавить группу потребителей</v>
      </c>
      <c r="AD28" s="4">
        <v>15</v>
      </c>
    </row>
    <row r="29" spans="1:30" ht="14.65" customHeight="1">
      <c r="A29" s="43" t="s">
        <v>173</v>
      </c>
      <c r="B29" s="43" t="s">
        <v>174</v>
      </c>
      <c r="C29" s="43" t="s">
        <v>175</v>
      </c>
      <c r="D29" s="43" t="s">
        <v>176</v>
      </c>
      <c r="F29" s="43"/>
      <c r="G29" s="43"/>
      <c r="H29" s="43"/>
      <c r="I29" s="4"/>
      <c r="K29" s="119"/>
      <c r="L29" s="434"/>
      <c r="M29" s="37" t="s">
        <v>416</v>
      </c>
      <c r="N29" s="58"/>
      <c r="O29" s="58"/>
      <c r="P29" s="58"/>
      <c r="Q29" s="58"/>
      <c r="R29" s="58"/>
      <c r="S29" s="58"/>
      <c r="T29" s="58"/>
      <c r="U29" s="58"/>
      <c r="V29" s="54"/>
      <c r="W29" s="58"/>
      <c r="X29" s="102"/>
      <c r="AA29" s="46" t="str">
        <f t="shared" si="0"/>
        <v>Добавить схему подключения</v>
      </c>
      <c r="AD29" s="4">
        <v>14</v>
      </c>
    </row>
    <row r="30" spans="1:30" ht="14.65" customHeight="1">
      <c r="A30" s="43" t="s">
        <v>173</v>
      </c>
      <c r="B30" s="43" t="s">
        <v>174</v>
      </c>
      <c r="C30" s="43" t="s">
        <v>175</v>
      </c>
      <c r="E30" s="43" t="s">
        <v>589</v>
      </c>
      <c r="F30" s="43"/>
      <c r="G30" s="43"/>
      <c r="H30" s="43"/>
      <c r="I30" s="4"/>
      <c r="K30" s="119"/>
      <c r="L30" s="435"/>
      <c r="M30" s="430"/>
      <c r="N30" s="431"/>
      <c r="O30" s="431"/>
      <c r="P30" s="431"/>
      <c r="Q30" s="431"/>
      <c r="R30" s="431"/>
      <c r="S30" s="431"/>
      <c r="T30" s="431"/>
      <c r="U30" s="431"/>
      <c r="V30" s="432"/>
      <c r="W30" s="431"/>
      <c r="X30" s="433"/>
      <c r="AA30" s="46" t="str">
        <f t="shared" si="0"/>
        <v/>
      </c>
      <c r="AD30" s="4">
        <v>14</v>
      </c>
    </row>
    <row r="31" spans="1:30" ht="14.65" customHeight="1">
      <c r="A31" s="43" t="s">
        <v>173</v>
      </c>
      <c r="B31" s="43" t="s">
        <v>174</v>
      </c>
      <c r="E31" s="43" t="s">
        <v>2230</v>
      </c>
      <c r="H31" s="43"/>
      <c r="I31" s="7"/>
      <c r="K31" s="121"/>
      <c r="L31" s="435"/>
      <c r="M31" s="430"/>
      <c r="N31" s="431"/>
      <c r="O31" s="431"/>
      <c r="P31" s="431"/>
      <c r="Q31" s="431"/>
      <c r="R31" s="431"/>
      <c r="S31" s="431"/>
      <c r="T31" s="431"/>
      <c r="U31" s="431"/>
      <c r="V31" s="432"/>
      <c r="W31" s="431"/>
      <c r="X31" s="433"/>
      <c r="AA31" s="46" t="str">
        <f t="shared" si="0"/>
        <v/>
      </c>
      <c r="AD31" s="4">
        <v>14</v>
      </c>
    </row>
    <row r="32" spans="1:30" ht="14.65" customHeight="1">
      <c r="A32" s="43" t="s">
        <v>2231</v>
      </c>
      <c r="E32" s="43" t="s">
        <v>105</v>
      </c>
      <c r="H32" s="43"/>
      <c r="I32" s="4"/>
      <c r="K32" s="119"/>
      <c r="L32" s="435"/>
      <c r="M32" s="430"/>
      <c r="N32" s="431"/>
      <c r="O32" s="431"/>
      <c r="P32" s="431"/>
      <c r="Q32" s="431"/>
      <c r="R32" s="431"/>
      <c r="S32" s="431"/>
      <c r="T32" s="431"/>
      <c r="U32" s="431"/>
      <c r="V32" s="432"/>
      <c r="W32" s="431"/>
      <c r="X32" s="433"/>
      <c r="AA32" s="46" t="str">
        <f t="shared" si="0"/>
        <v/>
      </c>
      <c r="AD32" s="4">
        <v>14</v>
      </c>
    </row>
    <row r="33" spans="1:30" ht="11.45" customHeight="1">
      <c r="E33" s="43" t="s">
        <v>451</v>
      </c>
      <c r="H33" s="43"/>
      <c r="I33"/>
      <c r="J33"/>
      <c r="K33"/>
      <c r="L33" s="436"/>
      <c r="M33" s="430"/>
      <c r="N33" s="431"/>
      <c r="O33" s="431"/>
      <c r="P33" s="431"/>
      <c r="Q33" s="431"/>
      <c r="R33" s="431"/>
      <c r="S33" s="431"/>
      <c r="T33" s="431"/>
      <c r="U33" s="431"/>
      <c r="V33" s="432"/>
      <c r="W33" s="431"/>
      <c r="X33" s="433"/>
      <c r="AD33">
        <v>11</v>
      </c>
    </row>
    <row r="34" spans="1:30" ht="11.45" customHeight="1">
      <c r="F34" s="43"/>
      <c r="G34" s="43"/>
      <c r="H34" s="43"/>
      <c r="I34" s="4"/>
      <c r="J34" s="4"/>
      <c r="K34" s="4"/>
      <c r="Y34" s="4"/>
      <c r="Z34" s="4"/>
      <c r="AA34" s="4"/>
      <c r="AB34" s="4"/>
      <c r="AC34" s="4"/>
      <c r="AD34" s="4">
        <v>11</v>
      </c>
    </row>
    <row r="35" spans="1:30" ht="28.5" customHeight="1">
      <c r="H35" s="43"/>
      <c r="L35" s="4" t="s">
        <v>807</v>
      </c>
      <c r="M35" s="665" t="s">
        <v>2232</v>
      </c>
      <c r="N35" s="665"/>
      <c r="O35" s="665"/>
      <c r="P35" s="665"/>
      <c r="Q35" s="665"/>
      <c r="R35" s="665"/>
      <c r="S35" s="665"/>
      <c r="T35" s="665"/>
      <c r="U35" s="665"/>
      <c r="V35" s="665"/>
      <c r="W35" s="665"/>
      <c r="X35" s="665"/>
      <c r="AD35" s="4">
        <v>27</v>
      </c>
    </row>
    <row r="36" spans="1:30" ht="109.15" customHeight="1">
      <c r="H36" s="43"/>
      <c r="M36" s="665" t="s">
        <v>2233</v>
      </c>
      <c r="N36" s="665"/>
      <c r="O36" s="665"/>
      <c r="P36" s="665"/>
      <c r="Q36" s="665"/>
      <c r="R36" s="665"/>
      <c r="S36" s="665"/>
      <c r="T36" s="665"/>
      <c r="U36" s="665"/>
      <c r="V36" s="665"/>
      <c r="W36" s="665"/>
      <c r="X36" s="665"/>
      <c r="AD36" s="4">
        <v>104</v>
      </c>
    </row>
    <row r="37" spans="1:30" ht="14.65" customHeight="1">
      <c r="H37" s="43"/>
      <c r="AD37" s="4">
        <v>14</v>
      </c>
    </row>
    <row r="38" spans="1:30" ht="14.65" customHeight="1">
      <c r="H38" s="43"/>
      <c r="AD38" s="4">
        <v>14</v>
      </c>
    </row>
    <row r="39" spans="1:30" ht="14.65" customHeight="1">
      <c r="H39" s="43"/>
      <c r="AD39" s="4">
        <v>14</v>
      </c>
    </row>
    <row r="40" spans="1:30" ht="14.65" customHeight="1">
      <c r="H40" s="43"/>
      <c r="AD40" s="4">
        <v>14</v>
      </c>
    </row>
    <row r="41" spans="1:30" ht="22.5" hidden="1" customHeight="1">
      <c r="A41" s="43" t="s">
        <v>82</v>
      </c>
      <c r="B41" s="43">
        <v>0</v>
      </c>
      <c r="C41" s="43">
        <v>0</v>
      </c>
      <c r="D41" s="43">
        <v>0</v>
      </c>
      <c r="E41" s="43">
        <v>0</v>
      </c>
      <c r="F41" s="167">
        <v>0</v>
      </c>
      <c r="G41" s="167">
        <v>0</v>
      </c>
      <c r="H41" s="167">
        <v>0</v>
      </c>
      <c r="I41" s="23">
        <v>3</v>
      </c>
      <c r="J41" s="20">
        <v>3</v>
      </c>
      <c r="K41" s="20">
        <v>3</v>
      </c>
      <c r="L41" s="4">
        <v>12</v>
      </c>
      <c r="M41" s="4">
        <v>31</v>
      </c>
      <c r="N41" s="4">
        <v>1</v>
      </c>
      <c r="O41" s="4">
        <v>24</v>
      </c>
      <c r="P41" s="4">
        <v>24</v>
      </c>
      <c r="Q41" s="4">
        <v>24</v>
      </c>
      <c r="R41" s="4">
        <v>24</v>
      </c>
      <c r="S41" s="4">
        <v>11</v>
      </c>
      <c r="T41" s="4">
        <v>3</v>
      </c>
      <c r="U41" s="4">
        <v>11</v>
      </c>
      <c r="V41" s="4">
        <v>8</v>
      </c>
      <c r="W41" s="4">
        <v>4</v>
      </c>
      <c r="X41" s="4">
        <v>115</v>
      </c>
      <c r="Y41" s="46">
        <v>10</v>
      </c>
      <c r="Z41" s="46">
        <v>10</v>
      </c>
      <c r="AA41" s="46">
        <v>10</v>
      </c>
      <c r="AB41" s="46">
        <v>10</v>
      </c>
      <c r="AC41" s="46">
        <v>10</v>
      </c>
      <c r="AD41" s="4">
        <v>23</v>
      </c>
    </row>
  </sheetData>
  <sheetProtection formatColumns="0" formatRows="0" insertRows="0" deleteColumns="0" deleteRows="0" sort="0" autoFilter="0"/>
  <mergeCells count="39">
    <mergeCell ref="X25:X27"/>
    <mergeCell ref="M35:X35"/>
    <mergeCell ref="M36:X36"/>
    <mergeCell ref="H25:H26"/>
    <mergeCell ref="S25:S26"/>
    <mergeCell ref="T25:T26"/>
    <mergeCell ref="U25:U26"/>
    <mergeCell ref="V25:V26"/>
    <mergeCell ref="X14:X17"/>
    <mergeCell ref="L15:L17"/>
    <mergeCell ref="M15:M17"/>
    <mergeCell ref="O15:U15"/>
    <mergeCell ref="V15:V17"/>
    <mergeCell ref="W15:W17"/>
    <mergeCell ref="O16:O17"/>
    <mergeCell ref="P16:P17"/>
    <mergeCell ref="Q16:R16"/>
    <mergeCell ref="S16:U16"/>
    <mergeCell ref="T17:U17"/>
    <mergeCell ref="L5:U5"/>
    <mergeCell ref="L6:U6"/>
    <mergeCell ref="O8:U8"/>
    <mergeCell ref="O9:U9"/>
    <mergeCell ref="O10:U10"/>
    <mergeCell ref="O11:U11"/>
    <mergeCell ref="L12:M12"/>
    <mergeCell ref="O13:V13"/>
    <mergeCell ref="L14:W14"/>
    <mergeCell ref="T18:U18"/>
    <mergeCell ref="O19:W19"/>
    <mergeCell ref="O20:W20"/>
    <mergeCell ref="O21:W21"/>
    <mergeCell ref="O22:W22"/>
    <mergeCell ref="F23:F28"/>
    <mergeCell ref="I23:I28"/>
    <mergeCell ref="O23:W23"/>
    <mergeCell ref="G24:G27"/>
    <mergeCell ref="J24:J27"/>
    <mergeCell ref="O24:W24"/>
  </mergeCells>
  <dataValidations count="8">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xr:uid="{00000000-0002-0000-3F00-000000000000}">
      <formula1>kind_of_scheme_in</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xr:uid="{00000000-0002-0000-3F00-000001000000}">
      <formula1>900</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xr:uid="{00000000-0002-0000-3F00-000002000000}">
      <formula1>kind_of_cons</formula1>
    </dataValidation>
    <dataValidation type="list" allowBlank="1" showInputMessage="1" showErrorMessage="1" errorTitle="Ошибка" error="Выберите значение из списка" sqref="M65561 M131097 M196633 M262169 M327705 M393241 M458777 M524313 M589849 M655385 M720921 M786457 M851993 M917529 M983065" xr:uid="{00000000-0002-0000-3F00-000003000000}">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xr:uid="{00000000-0002-0000-3F00-000004000000}"/>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xr:uid="{00000000-0002-0000-3F00-000005000000}"/>
    <dataValidation allowBlank="1" promptTitle="checkPeriodRange" sqref="R26 R65562 R131098 R196634 R262170 R327706 R393242 R458778 R524314 R589850 R655386 R720922 R786458 R851994 R917530 R983066" xr:uid="{00000000-0002-0000-3F00-000006000000}"/>
    <dataValidation allowBlank="1" sqref="L131099:X131105 L196635:X196641 L262171:X262177 L327707:X327713 L393243:X393249 L458779:X458785 L524315:X524321 L589851:X589857 L655387:X655393 L720923:X720929 L786459:X786465 L851995:X852001 L917531:X917537 L983067:X983073 L65563:X65569" xr:uid="{00000000-0002-0000-3F00-00000700000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2FB32F-1E19-CFFB-4CB9-542780CC809A}">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FEB698-27B3-DB07-430D-4CA29BF6F2DF}">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D0562E-3E3F-2EFA-1578-B2BF11EA0231}">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EDF3CA-07E4-0CE7-1741-AA2A8CDA94DD}">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27E341-A2DC-140F-991F-526E5AF3B229}">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039EB6-118F-9579-8424-C9A8B7B0D022}">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8E014A-0369-CAA4-5671-520000002600}">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D4A50E-E036-0E1A-EC8C-E8393FB7A78E}">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B21CBA-3716-0B6C-8BFF-C8BF988AD826}">
  <dimension ref="A1:E8"/>
  <sheetViews>
    <sheetView showGridLines="0" workbookViewId="0"/>
  </sheetViews>
  <sheetFormatPr defaultRowHeight="11.25" customHeight="1"/>
  <cols>
    <col min="1" max="1" width="10.5703125" style="2" customWidth="1"/>
    <col min="2" max="2" width="8.7109375" style="2" customWidth="1"/>
    <col min="3" max="3" width="18.140625" style="2" customWidth="1"/>
    <col min="4" max="4" width="12.5703125" style="2" customWidth="1"/>
  </cols>
  <sheetData>
    <row r="1" spans="1:5" ht="11.25" customHeight="1">
      <c r="A1" s="637" t="s">
        <v>2234</v>
      </c>
      <c r="B1" s="638" t="s">
        <v>2235</v>
      </c>
      <c r="C1" s="896" t="s">
        <v>2236</v>
      </c>
      <c r="D1" s="897"/>
      <c r="E1" s="248" t="s">
        <v>2237</v>
      </c>
    </row>
    <row r="2" spans="1:5" ht="11.25" customHeight="1">
      <c r="A2" s="639"/>
      <c r="B2" s="221" t="s">
        <v>27</v>
      </c>
      <c r="C2" s="248"/>
      <c r="D2" s="250"/>
      <c r="E2" s="248"/>
    </row>
    <row r="3" spans="1:5" ht="11.25" customHeight="1">
      <c r="A3" s="640"/>
      <c r="B3" s="641" t="s">
        <v>33</v>
      </c>
      <c r="C3" s="248"/>
      <c r="D3" s="250"/>
      <c r="E3" s="248"/>
    </row>
    <row r="4" spans="1:5" ht="11.25" customHeight="1">
      <c r="A4" s="642"/>
      <c r="B4" s="251" t="s">
        <v>1663</v>
      </c>
      <c r="C4" s="248"/>
      <c r="D4" s="250"/>
      <c r="E4" s="248"/>
    </row>
    <row r="5" spans="1:5" ht="11.25" customHeight="1">
      <c r="A5" s="643"/>
      <c r="B5" s="251" t="s">
        <v>1657</v>
      </c>
      <c r="C5" s="644" t="s">
        <v>2001</v>
      </c>
      <c r="D5" s="645" t="s">
        <v>2238</v>
      </c>
      <c r="E5" s="248"/>
    </row>
    <row r="6" spans="1:5" ht="11.25" customHeight="1">
      <c r="A6" s="646"/>
      <c r="B6" s="251" t="s">
        <v>1667</v>
      </c>
      <c r="C6" s="248"/>
      <c r="D6" s="250"/>
      <c r="E6" s="248"/>
    </row>
    <row r="7" spans="1:5" ht="11.25" customHeight="1">
      <c r="A7" s="647"/>
      <c r="B7" s="251" t="s">
        <v>1675</v>
      </c>
      <c r="C7" s="248"/>
      <c r="D7" s="250"/>
      <c r="E7" s="248"/>
    </row>
    <row r="8" spans="1:5" ht="11.25" customHeight="1">
      <c r="A8" s="249"/>
      <c r="B8" s="251" t="s">
        <v>1670</v>
      </c>
      <c r="C8" s="248"/>
      <c r="D8" s="250"/>
      <c r="E8" s="248"/>
    </row>
  </sheetData>
  <sheetProtection formatColumns="0" formatRows="0" insertRows="0" deleteColumns="0" deleteRows="0" sort="0" autoFilter="0"/>
  <mergeCells count="1">
    <mergeCell ref="C1:D1"/>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9231CA-0061-61BD-DBCA-C5C709898F0D}">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BC5035-7103-4F64-9F19-D1584EA375CE}">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9DE68A-7E95-8FCD-696E-20A8D950D6D5}">
  <sheetPr>
    <tabColor rgb="FFFFCC99"/>
  </sheetPr>
  <dimension ref="A1:I519"/>
  <sheetViews>
    <sheetView showGridLines="0" workbookViewId="0"/>
  </sheetViews>
  <sheetFormatPr defaultColWidth="9.140625" defaultRowHeight="11.25" customHeight="1"/>
  <cols>
    <col min="3" max="3" width="20.7109375" customWidth="1"/>
    <col min="4" max="4" width="25.140625" customWidth="1"/>
  </cols>
  <sheetData>
    <row r="1" spans="1:9" ht="11.25" customHeight="1">
      <c r="A1" t="s">
        <v>2239</v>
      </c>
      <c r="B1" t="s">
        <v>2240</v>
      </c>
      <c r="C1" t="s">
        <v>2241</v>
      </c>
      <c r="D1" t="s">
        <v>2242</v>
      </c>
      <c r="E1" t="s">
        <v>2243</v>
      </c>
      <c r="F1" t="s">
        <v>2244</v>
      </c>
      <c r="G1" t="s">
        <v>2245</v>
      </c>
      <c r="H1" t="s">
        <v>2246</v>
      </c>
      <c r="I1" t="s">
        <v>2247</v>
      </c>
    </row>
    <row r="2" spans="1:9" ht="11.25" customHeight="1">
      <c r="A2" t="s">
        <v>2248</v>
      </c>
      <c r="B2" t="s">
        <v>16</v>
      </c>
      <c r="C2" t="s">
        <v>2249</v>
      </c>
      <c r="D2" t="s">
        <v>2250</v>
      </c>
      <c r="E2" t="s">
        <v>2251</v>
      </c>
      <c r="F2" t="s">
        <v>2252</v>
      </c>
      <c r="G2" t="s">
        <v>2253</v>
      </c>
      <c r="H2" t="s">
        <v>22</v>
      </c>
      <c r="I2" t="s">
        <v>811</v>
      </c>
    </row>
    <row r="3" spans="1:9" ht="11.25" customHeight="1">
      <c r="A3" t="s">
        <v>2248</v>
      </c>
      <c r="B3" t="s">
        <v>16</v>
      </c>
      <c r="C3" t="s">
        <v>2254</v>
      </c>
      <c r="D3" t="s">
        <v>2255</v>
      </c>
      <c r="E3" t="s">
        <v>2256</v>
      </c>
      <c r="F3" t="s">
        <v>2257</v>
      </c>
      <c r="G3" t="s">
        <v>22</v>
      </c>
      <c r="H3" t="s">
        <v>22</v>
      </c>
      <c r="I3" t="s">
        <v>811</v>
      </c>
    </row>
    <row r="4" spans="1:9" ht="11.25" customHeight="1">
      <c r="A4" t="s">
        <v>2248</v>
      </c>
      <c r="B4" t="s">
        <v>16</v>
      </c>
      <c r="C4" t="s">
        <v>2258</v>
      </c>
      <c r="D4" t="s">
        <v>2259</v>
      </c>
      <c r="E4" t="s">
        <v>2260</v>
      </c>
      <c r="F4" t="s">
        <v>51</v>
      </c>
      <c r="G4" t="s">
        <v>2261</v>
      </c>
      <c r="H4" t="s">
        <v>22</v>
      </c>
      <c r="I4" t="s">
        <v>811</v>
      </c>
    </row>
    <row r="5" spans="1:9" ht="11.25" customHeight="1">
      <c r="A5" t="s">
        <v>2248</v>
      </c>
      <c r="B5" t="s">
        <v>16</v>
      </c>
      <c r="C5" t="s">
        <v>2262</v>
      </c>
      <c r="D5" t="s">
        <v>2263</v>
      </c>
      <c r="E5" t="s">
        <v>2264</v>
      </c>
      <c r="F5" t="s">
        <v>2265</v>
      </c>
      <c r="G5" t="s">
        <v>22</v>
      </c>
      <c r="H5" t="s">
        <v>22</v>
      </c>
      <c r="I5" t="s">
        <v>811</v>
      </c>
    </row>
    <row r="6" spans="1:9" ht="11.25" customHeight="1">
      <c r="A6" t="s">
        <v>2248</v>
      </c>
      <c r="B6" t="s">
        <v>16</v>
      </c>
      <c r="C6" t="s">
        <v>2266</v>
      </c>
      <c r="D6" t="s">
        <v>2263</v>
      </c>
      <c r="E6" t="s">
        <v>2264</v>
      </c>
      <c r="F6" t="s">
        <v>2267</v>
      </c>
      <c r="G6" t="s">
        <v>22</v>
      </c>
      <c r="H6" t="s">
        <v>22</v>
      </c>
      <c r="I6" t="s">
        <v>811</v>
      </c>
    </row>
    <row r="7" spans="1:9" ht="11.25" customHeight="1">
      <c r="A7" t="s">
        <v>2248</v>
      </c>
      <c r="B7" t="s">
        <v>16</v>
      </c>
      <c r="C7" t="s">
        <v>2268</v>
      </c>
      <c r="D7" t="s">
        <v>2269</v>
      </c>
      <c r="E7" t="s">
        <v>2270</v>
      </c>
      <c r="F7" t="s">
        <v>2257</v>
      </c>
      <c r="G7" t="s">
        <v>2271</v>
      </c>
      <c r="H7" t="s">
        <v>22</v>
      </c>
      <c r="I7" t="s">
        <v>811</v>
      </c>
    </row>
    <row r="8" spans="1:9" ht="11.25" customHeight="1">
      <c r="A8" t="s">
        <v>2248</v>
      </c>
      <c r="B8" t="s">
        <v>16</v>
      </c>
      <c r="C8" t="s">
        <v>2272</v>
      </c>
      <c r="D8" t="s">
        <v>2273</v>
      </c>
      <c r="E8" t="s">
        <v>2274</v>
      </c>
      <c r="F8" t="s">
        <v>2257</v>
      </c>
      <c r="G8" t="s">
        <v>2275</v>
      </c>
      <c r="H8" t="s">
        <v>22</v>
      </c>
      <c r="I8" t="s">
        <v>811</v>
      </c>
    </row>
    <row r="9" spans="1:9" ht="11.25" customHeight="1">
      <c r="A9" t="s">
        <v>2248</v>
      </c>
      <c r="B9" t="s">
        <v>16</v>
      </c>
      <c r="C9" t="s">
        <v>2276</v>
      </c>
      <c r="D9" t="s">
        <v>2277</v>
      </c>
      <c r="E9" t="s">
        <v>2278</v>
      </c>
      <c r="F9" t="s">
        <v>2257</v>
      </c>
      <c r="G9" t="s">
        <v>2279</v>
      </c>
      <c r="H9" t="s">
        <v>22</v>
      </c>
      <c r="I9" t="s">
        <v>811</v>
      </c>
    </row>
    <row r="10" spans="1:9" ht="11.25" customHeight="1">
      <c r="A10" t="s">
        <v>2248</v>
      </c>
      <c r="B10" t="s">
        <v>16</v>
      </c>
      <c r="C10" t="s">
        <v>2280</v>
      </c>
      <c r="D10" t="s">
        <v>2281</v>
      </c>
      <c r="E10" t="s">
        <v>2282</v>
      </c>
      <c r="F10" t="s">
        <v>2283</v>
      </c>
      <c r="G10" t="s">
        <v>2284</v>
      </c>
      <c r="H10" t="s">
        <v>22</v>
      </c>
      <c r="I10" t="s">
        <v>811</v>
      </c>
    </row>
    <row r="11" spans="1:9" ht="11.25" customHeight="1">
      <c r="A11" t="s">
        <v>2248</v>
      </c>
      <c r="B11" t="s">
        <v>16</v>
      </c>
      <c r="C11" t="s">
        <v>2285</v>
      </c>
      <c r="D11" t="s">
        <v>2286</v>
      </c>
      <c r="E11" t="s">
        <v>2287</v>
      </c>
      <c r="F11" t="s">
        <v>2283</v>
      </c>
      <c r="G11" t="s">
        <v>2288</v>
      </c>
      <c r="H11" t="s">
        <v>22</v>
      </c>
      <c r="I11" t="s">
        <v>811</v>
      </c>
    </row>
    <row r="12" spans="1:9" ht="11.25" customHeight="1">
      <c r="A12" t="s">
        <v>2248</v>
      </c>
      <c r="B12" t="s">
        <v>16</v>
      </c>
      <c r="C12" t="s">
        <v>2289</v>
      </c>
      <c r="D12" t="s">
        <v>2290</v>
      </c>
      <c r="E12" t="s">
        <v>2291</v>
      </c>
      <c r="F12" t="s">
        <v>2292</v>
      </c>
      <c r="G12" t="s">
        <v>2293</v>
      </c>
      <c r="H12" t="s">
        <v>22</v>
      </c>
      <c r="I12" t="s">
        <v>811</v>
      </c>
    </row>
    <row r="13" spans="1:9" ht="11.25" customHeight="1">
      <c r="A13" t="s">
        <v>2248</v>
      </c>
      <c r="B13" t="s">
        <v>16</v>
      </c>
      <c r="C13" t="s">
        <v>2294</v>
      </c>
      <c r="D13" t="s">
        <v>2295</v>
      </c>
      <c r="E13" t="s">
        <v>2296</v>
      </c>
      <c r="F13" t="s">
        <v>2257</v>
      </c>
      <c r="G13" t="s">
        <v>2297</v>
      </c>
      <c r="H13" t="s">
        <v>22</v>
      </c>
      <c r="I13" t="s">
        <v>811</v>
      </c>
    </row>
    <row r="14" spans="1:9" ht="11.25" customHeight="1">
      <c r="A14" t="s">
        <v>2248</v>
      </c>
      <c r="B14" t="s">
        <v>16</v>
      </c>
      <c r="C14" t="s">
        <v>2298</v>
      </c>
      <c r="D14" t="s">
        <v>2299</v>
      </c>
      <c r="E14" t="s">
        <v>2300</v>
      </c>
      <c r="F14" t="s">
        <v>2257</v>
      </c>
      <c r="G14" t="s">
        <v>2301</v>
      </c>
      <c r="H14" t="s">
        <v>22</v>
      </c>
      <c r="I14" t="s">
        <v>811</v>
      </c>
    </row>
    <row r="15" spans="1:9" ht="11.25" customHeight="1">
      <c r="A15" t="s">
        <v>2248</v>
      </c>
      <c r="B15" t="s">
        <v>16</v>
      </c>
      <c r="C15" t="s">
        <v>2302</v>
      </c>
      <c r="D15" t="s">
        <v>2303</v>
      </c>
      <c r="E15" t="s">
        <v>2304</v>
      </c>
      <c r="F15" t="s">
        <v>2257</v>
      </c>
      <c r="G15" t="s">
        <v>2305</v>
      </c>
      <c r="H15" t="s">
        <v>22</v>
      </c>
      <c r="I15" t="s">
        <v>811</v>
      </c>
    </row>
    <row r="16" spans="1:9" ht="11.25" customHeight="1">
      <c r="A16" t="s">
        <v>2248</v>
      </c>
      <c r="B16" t="s">
        <v>16</v>
      </c>
      <c r="C16" t="s">
        <v>2306</v>
      </c>
      <c r="D16" t="s">
        <v>2307</v>
      </c>
      <c r="E16" t="s">
        <v>2308</v>
      </c>
      <c r="F16" t="s">
        <v>2252</v>
      </c>
      <c r="G16" t="s">
        <v>22</v>
      </c>
      <c r="H16" t="s">
        <v>22</v>
      </c>
      <c r="I16" t="s">
        <v>811</v>
      </c>
    </row>
    <row r="17" spans="1:9" ht="11.25" customHeight="1">
      <c r="A17" t="s">
        <v>2248</v>
      </c>
      <c r="B17" t="s">
        <v>16</v>
      </c>
      <c r="C17" t="s">
        <v>2309</v>
      </c>
      <c r="D17" t="s">
        <v>2310</v>
      </c>
      <c r="E17" t="s">
        <v>2311</v>
      </c>
      <c r="F17" t="s">
        <v>2312</v>
      </c>
      <c r="G17" t="s">
        <v>22</v>
      </c>
      <c r="H17" t="s">
        <v>22</v>
      </c>
      <c r="I17" t="s">
        <v>811</v>
      </c>
    </row>
    <row r="18" spans="1:9" ht="11.25" customHeight="1">
      <c r="A18" t="s">
        <v>2248</v>
      </c>
      <c r="B18" t="s">
        <v>16</v>
      </c>
      <c r="C18" t="s">
        <v>2313</v>
      </c>
      <c r="D18" t="s">
        <v>2314</v>
      </c>
      <c r="E18" t="s">
        <v>2315</v>
      </c>
      <c r="F18" t="s">
        <v>2316</v>
      </c>
      <c r="G18" t="s">
        <v>2317</v>
      </c>
      <c r="H18" t="s">
        <v>22</v>
      </c>
      <c r="I18" t="s">
        <v>811</v>
      </c>
    </row>
    <row r="19" spans="1:9" ht="11.25" customHeight="1">
      <c r="A19" t="s">
        <v>2248</v>
      </c>
      <c r="B19" t="s">
        <v>16</v>
      </c>
      <c r="C19" t="s">
        <v>2318</v>
      </c>
      <c r="D19" t="s">
        <v>2319</v>
      </c>
      <c r="E19" t="s">
        <v>2315</v>
      </c>
      <c r="F19" t="s">
        <v>2320</v>
      </c>
      <c r="G19" t="s">
        <v>2317</v>
      </c>
      <c r="H19" t="s">
        <v>22</v>
      </c>
      <c r="I19" t="s">
        <v>811</v>
      </c>
    </row>
    <row r="20" spans="1:9" ht="11.25" customHeight="1">
      <c r="A20" t="s">
        <v>2248</v>
      </c>
      <c r="B20" t="s">
        <v>16</v>
      </c>
      <c r="C20" t="s">
        <v>22</v>
      </c>
      <c r="D20" t="s">
        <v>2321</v>
      </c>
      <c r="E20" t="s">
        <v>2322</v>
      </c>
      <c r="F20" t="s">
        <v>2257</v>
      </c>
      <c r="G20" t="s">
        <v>22</v>
      </c>
      <c r="H20" t="s">
        <v>22</v>
      </c>
      <c r="I20" t="s">
        <v>811</v>
      </c>
    </row>
    <row r="21" spans="1:9" ht="11.25" customHeight="1">
      <c r="A21" t="s">
        <v>2248</v>
      </c>
      <c r="B21" t="s">
        <v>16</v>
      </c>
      <c r="C21" t="s">
        <v>2323</v>
      </c>
      <c r="D21" t="s">
        <v>2324</v>
      </c>
      <c r="E21" t="s">
        <v>2325</v>
      </c>
      <c r="F21" t="s">
        <v>2326</v>
      </c>
      <c r="G21" t="s">
        <v>2327</v>
      </c>
      <c r="H21" t="s">
        <v>22</v>
      </c>
      <c r="I21" t="s">
        <v>811</v>
      </c>
    </row>
    <row r="22" spans="1:9" ht="11.25" customHeight="1">
      <c r="A22" t="s">
        <v>2248</v>
      </c>
      <c r="B22" t="s">
        <v>16</v>
      </c>
      <c r="C22" t="s">
        <v>2328</v>
      </c>
      <c r="D22" t="s">
        <v>2329</v>
      </c>
      <c r="E22" t="s">
        <v>2330</v>
      </c>
      <c r="F22" t="s">
        <v>578</v>
      </c>
      <c r="G22" t="s">
        <v>2331</v>
      </c>
      <c r="H22" t="s">
        <v>22</v>
      </c>
      <c r="I22" t="s">
        <v>811</v>
      </c>
    </row>
    <row r="23" spans="1:9" ht="11.25" customHeight="1">
      <c r="A23" t="s">
        <v>2248</v>
      </c>
      <c r="B23" t="s">
        <v>16</v>
      </c>
      <c r="C23" t="s">
        <v>2332</v>
      </c>
      <c r="D23" t="s">
        <v>2333</v>
      </c>
      <c r="E23" t="s">
        <v>2334</v>
      </c>
      <c r="F23" t="s">
        <v>2335</v>
      </c>
      <c r="G23" t="s">
        <v>2336</v>
      </c>
      <c r="H23" t="s">
        <v>22</v>
      </c>
      <c r="I23" t="s">
        <v>811</v>
      </c>
    </row>
    <row r="24" spans="1:9" ht="11.25" customHeight="1">
      <c r="A24" t="s">
        <v>2248</v>
      </c>
      <c r="B24" t="s">
        <v>16</v>
      </c>
      <c r="C24" t="s">
        <v>2337</v>
      </c>
      <c r="D24" t="s">
        <v>2338</v>
      </c>
      <c r="E24" t="s">
        <v>2339</v>
      </c>
      <c r="F24" t="s">
        <v>2340</v>
      </c>
      <c r="G24" t="s">
        <v>22</v>
      </c>
      <c r="H24" t="s">
        <v>22</v>
      </c>
      <c r="I24" t="s">
        <v>811</v>
      </c>
    </row>
    <row r="25" spans="1:9" ht="11.25" customHeight="1">
      <c r="A25" t="s">
        <v>2248</v>
      </c>
      <c r="B25" t="s">
        <v>16</v>
      </c>
      <c r="C25" t="s">
        <v>2341</v>
      </c>
      <c r="D25" t="s">
        <v>2342</v>
      </c>
      <c r="E25" t="s">
        <v>2343</v>
      </c>
      <c r="F25" t="s">
        <v>2344</v>
      </c>
      <c r="G25" t="s">
        <v>2345</v>
      </c>
      <c r="H25" t="s">
        <v>22</v>
      </c>
      <c r="I25" t="s">
        <v>811</v>
      </c>
    </row>
    <row r="26" spans="1:9" ht="11.25" customHeight="1">
      <c r="A26" t="s">
        <v>2248</v>
      </c>
      <c r="B26" t="s">
        <v>16</v>
      </c>
      <c r="C26" t="s">
        <v>2346</v>
      </c>
      <c r="D26" t="s">
        <v>2347</v>
      </c>
      <c r="E26" t="s">
        <v>2348</v>
      </c>
      <c r="F26" t="s">
        <v>2349</v>
      </c>
      <c r="G26" t="s">
        <v>2350</v>
      </c>
      <c r="H26" t="s">
        <v>22</v>
      </c>
      <c r="I26" t="s">
        <v>811</v>
      </c>
    </row>
    <row r="27" spans="1:9" ht="11.25" customHeight="1">
      <c r="A27" t="s">
        <v>2248</v>
      </c>
      <c r="B27" t="s">
        <v>16</v>
      </c>
      <c r="C27" t="s">
        <v>2351</v>
      </c>
      <c r="D27" t="s">
        <v>2352</v>
      </c>
      <c r="E27" t="s">
        <v>2353</v>
      </c>
      <c r="F27" t="s">
        <v>2252</v>
      </c>
      <c r="G27" t="s">
        <v>2253</v>
      </c>
      <c r="H27" t="s">
        <v>22</v>
      </c>
      <c r="I27" t="s">
        <v>811</v>
      </c>
    </row>
    <row r="28" spans="1:9" ht="11.25" customHeight="1">
      <c r="A28" t="s">
        <v>2248</v>
      </c>
      <c r="B28" t="s">
        <v>16</v>
      </c>
      <c r="C28" t="s">
        <v>2354</v>
      </c>
      <c r="D28" t="s">
        <v>2355</v>
      </c>
      <c r="E28" t="s">
        <v>2356</v>
      </c>
      <c r="F28" t="s">
        <v>2357</v>
      </c>
      <c r="G28" t="s">
        <v>22</v>
      </c>
      <c r="H28" t="s">
        <v>22</v>
      </c>
      <c r="I28" t="s">
        <v>811</v>
      </c>
    </row>
    <row r="29" spans="1:9" ht="11.25" customHeight="1">
      <c r="A29" t="s">
        <v>2248</v>
      </c>
      <c r="B29" t="s">
        <v>16</v>
      </c>
      <c r="C29" t="s">
        <v>2358</v>
      </c>
      <c r="D29" t="s">
        <v>2359</v>
      </c>
      <c r="E29" t="s">
        <v>2360</v>
      </c>
      <c r="F29" t="s">
        <v>2357</v>
      </c>
      <c r="G29" t="s">
        <v>2361</v>
      </c>
      <c r="H29" t="s">
        <v>22</v>
      </c>
      <c r="I29" t="s">
        <v>811</v>
      </c>
    </row>
    <row r="30" spans="1:9" ht="11.25" customHeight="1">
      <c r="A30" t="s">
        <v>2248</v>
      </c>
      <c r="B30" t="s">
        <v>16</v>
      </c>
      <c r="C30" t="s">
        <v>2362</v>
      </c>
      <c r="D30" t="s">
        <v>2363</v>
      </c>
      <c r="E30" t="s">
        <v>2364</v>
      </c>
      <c r="F30" t="s">
        <v>2357</v>
      </c>
      <c r="G30" t="s">
        <v>2361</v>
      </c>
      <c r="H30" t="s">
        <v>22</v>
      </c>
      <c r="I30" t="s">
        <v>811</v>
      </c>
    </row>
    <row r="31" spans="1:9" ht="11.25" customHeight="1">
      <c r="A31" t="s">
        <v>2248</v>
      </c>
      <c r="B31" t="s">
        <v>16</v>
      </c>
      <c r="C31" t="s">
        <v>2365</v>
      </c>
      <c r="D31" t="s">
        <v>2366</v>
      </c>
      <c r="E31" t="s">
        <v>2367</v>
      </c>
      <c r="F31" t="s">
        <v>2368</v>
      </c>
      <c r="G31" t="s">
        <v>2369</v>
      </c>
      <c r="H31" t="s">
        <v>22</v>
      </c>
      <c r="I31" t="s">
        <v>811</v>
      </c>
    </row>
    <row r="32" spans="1:9" ht="11.25" customHeight="1">
      <c r="A32" t="s">
        <v>2248</v>
      </c>
      <c r="B32" t="s">
        <v>16</v>
      </c>
      <c r="C32" t="s">
        <v>2370</v>
      </c>
      <c r="D32" t="s">
        <v>2371</v>
      </c>
      <c r="E32" t="s">
        <v>2372</v>
      </c>
      <c r="F32" t="s">
        <v>2373</v>
      </c>
      <c r="G32" t="s">
        <v>2374</v>
      </c>
      <c r="H32" t="s">
        <v>22</v>
      </c>
      <c r="I32" t="s">
        <v>811</v>
      </c>
    </row>
    <row r="33" spans="1:9" ht="11.25" customHeight="1">
      <c r="A33" t="s">
        <v>2248</v>
      </c>
      <c r="B33" t="s">
        <v>16</v>
      </c>
      <c r="C33" t="s">
        <v>2375</v>
      </c>
      <c r="D33" t="s">
        <v>2376</v>
      </c>
      <c r="E33" t="s">
        <v>2377</v>
      </c>
      <c r="F33" t="s">
        <v>2378</v>
      </c>
      <c r="G33" t="s">
        <v>2379</v>
      </c>
      <c r="H33" t="s">
        <v>22</v>
      </c>
      <c r="I33" t="s">
        <v>811</v>
      </c>
    </row>
    <row r="34" spans="1:9" ht="11.25" customHeight="1">
      <c r="A34" t="s">
        <v>2248</v>
      </c>
      <c r="B34" t="s">
        <v>16</v>
      </c>
      <c r="C34" t="s">
        <v>2380</v>
      </c>
      <c r="D34" t="s">
        <v>2381</v>
      </c>
      <c r="E34" t="s">
        <v>2382</v>
      </c>
      <c r="F34" t="s">
        <v>51</v>
      </c>
      <c r="G34" t="s">
        <v>2383</v>
      </c>
      <c r="H34" t="s">
        <v>22</v>
      </c>
      <c r="I34" t="s">
        <v>811</v>
      </c>
    </row>
    <row r="35" spans="1:9" ht="11.25" customHeight="1">
      <c r="A35" t="s">
        <v>2248</v>
      </c>
      <c r="B35" t="s">
        <v>16</v>
      </c>
      <c r="C35" t="s">
        <v>2384</v>
      </c>
      <c r="D35" t="s">
        <v>2385</v>
      </c>
      <c r="E35" t="s">
        <v>2386</v>
      </c>
      <c r="F35" t="s">
        <v>2378</v>
      </c>
      <c r="G35" t="s">
        <v>2387</v>
      </c>
      <c r="H35" t="s">
        <v>22</v>
      </c>
      <c r="I35" t="s">
        <v>811</v>
      </c>
    </row>
    <row r="36" spans="1:9" ht="11.25" customHeight="1">
      <c r="A36" t="s">
        <v>2248</v>
      </c>
      <c r="B36" t="s">
        <v>16</v>
      </c>
      <c r="C36" t="s">
        <v>2388</v>
      </c>
      <c r="D36" t="s">
        <v>2389</v>
      </c>
      <c r="E36" t="s">
        <v>2390</v>
      </c>
      <c r="F36" t="s">
        <v>2378</v>
      </c>
      <c r="G36" t="s">
        <v>2391</v>
      </c>
      <c r="H36" t="s">
        <v>22</v>
      </c>
      <c r="I36" t="s">
        <v>811</v>
      </c>
    </row>
    <row r="37" spans="1:9" ht="11.25" customHeight="1">
      <c r="A37" t="s">
        <v>2248</v>
      </c>
      <c r="B37" t="s">
        <v>16</v>
      </c>
      <c r="C37" t="s">
        <v>2392</v>
      </c>
      <c r="D37" t="s">
        <v>2393</v>
      </c>
      <c r="E37" t="s">
        <v>2394</v>
      </c>
      <c r="F37" t="s">
        <v>2378</v>
      </c>
      <c r="G37" t="s">
        <v>2395</v>
      </c>
      <c r="H37" t="s">
        <v>22</v>
      </c>
      <c r="I37" t="s">
        <v>811</v>
      </c>
    </row>
    <row r="38" spans="1:9" ht="11.25" customHeight="1">
      <c r="A38" t="s">
        <v>2248</v>
      </c>
      <c r="B38" t="s">
        <v>16</v>
      </c>
      <c r="C38" t="s">
        <v>2396</v>
      </c>
      <c r="D38" t="s">
        <v>2397</v>
      </c>
      <c r="E38" t="s">
        <v>2398</v>
      </c>
      <c r="F38" t="s">
        <v>51</v>
      </c>
      <c r="G38" t="s">
        <v>2399</v>
      </c>
      <c r="H38" t="s">
        <v>22</v>
      </c>
      <c r="I38" t="s">
        <v>811</v>
      </c>
    </row>
    <row r="39" spans="1:9" ht="11.25" customHeight="1">
      <c r="A39" t="s">
        <v>2248</v>
      </c>
      <c r="B39" t="s">
        <v>16</v>
      </c>
      <c r="C39" t="s">
        <v>2400</v>
      </c>
      <c r="D39" t="s">
        <v>2401</v>
      </c>
      <c r="E39" t="s">
        <v>2402</v>
      </c>
      <c r="F39" t="s">
        <v>2378</v>
      </c>
      <c r="G39" t="s">
        <v>2391</v>
      </c>
      <c r="H39" t="s">
        <v>22</v>
      </c>
      <c r="I39" t="s">
        <v>811</v>
      </c>
    </row>
    <row r="40" spans="1:9" ht="11.25" customHeight="1">
      <c r="A40" t="s">
        <v>2248</v>
      </c>
      <c r="B40" t="s">
        <v>16</v>
      </c>
      <c r="C40" t="s">
        <v>2403</v>
      </c>
      <c r="D40" t="s">
        <v>2404</v>
      </c>
      <c r="E40" t="s">
        <v>2405</v>
      </c>
      <c r="F40" t="s">
        <v>2378</v>
      </c>
      <c r="G40" t="s">
        <v>2406</v>
      </c>
      <c r="H40" t="s">
        <v>22</v>
      </c>
      <c r="I40" t="s">
        <v>811</v>
      </c>
    </row>
    <row r="41" spans="1:9" ht="11.25" customHeight="1">
      <c r="A41" t="s">
        <v>2248</v>
      </c>
      <c r="B41" t="s">
        <v>16</v>
      </c>
      <c r="C41" t="s">
        <v>2407</v>
      </c>
      <c r="D41" t="s">
        <v>2408</v>
      </c>
      <c r="E41" t="s">
        <v>2409</v>
      </c>
      <c r="F41" t="s">
        <v>2252</v>
      </c>
      <c r="G41" t="s">
        <v>2410</v>
      </c>
      <c r="H41" t="s">
        <v>22</v>
      </c>
      <c r="I41" t="s">
        <v>811</v>
      </c>
    </row>
    <row r="42" spans="1:9" ht="11.25" customHeight="1">
      <c r="A42" t="s">
        <v>2248</v>
      </c>
      <c r="B42" t="s">
        <v>16</v>
      </c>
      <c r="C42" t="s">
        <v>2411</v>
      </c>
      <c r="D42" t="s">
        <v>2412</v>
      </c>
      <c r="E42" t="s">
        <v>2413</v>
      </c>
      <c r="F42" t="s">
        <v>2252</v>
      </c>
      <c r="G42" t="s">
        <v>2414</v>
      </c>
      <c r="H42" t="s">
        <v>22</v>
      </c>
      <c r="I42" t="s">
        <v>811</v>
      </c>
    </row>
    <row r="43" spans="1:9" ht="11.25" customHeight="1">
      <c r="A43" t="s">
        <v>2248</v>
      </c>
      <c r="B43" t="s">
        <v>16</v>
      </c>
      <c r="C43" t="s">
        <v>2415</v>
      </c>
      <c r="D43" t="s">
        <v>2416</v>
      </c>
      <c r="E43" t="s">
        <v>2417</v>
      </c>
      <c r="F43" t="s">
        <v>51</v>
      </c>
      <c r="G43" t="s">
        <v>2418</v>
      </c>
      <c r="H43" t="s">
        <v>22</v>
      </c>
      <c r="I43" t="s">
        <v>811</v>
      </c>
    </row>
    <row r="44" spans="1:9" ht="11.25" customHeight="1">
      <c r="A44" t="s">
        <v>2248</v>
      </c>
      <c r="B44" t="s">
        <v>16</v>
      </c>
      <c r="C44" t="s">
        <v>2419</v>
      </c>
      <c r="D44" t="s">
        <v>2420</v>
      </c>
      <c r="E44" t="s">
        <v>2421</v>
      </c>
      <c r="F44" t="s">
        <v>2422</v>
      </c>
      <c r="G44" t="s">
        <v>2423</v>
      </c>
      <c r="H44" t="s">
        <v>22</v>
      </c>
      <c r="I44" t="s">
        <v>811</v>
      </c>
    </row>
    <row r="45" spans="1:9" ht="11.25" customHeight="1">
      <c r="A45" t="s">
        <v>2248</v>
      </c>
      <c r="B45" t="s">
        <v>16</v>
      </c>
      <c r="C45" t="s">
        <v>2424</v>
      </c>
      <c r="D45" t="s">
        <v>2425</v>
      </c>
      <c r="E45" t="s">
        <v>2426</v>
      </c>
      <c r="F45" t="s">
        <v>2368</v>
      </c>
      <c r="G45" t="s">
        <v>2427</v>
      </c>
      <c r="H45" t="s">
        <v>22</v>
      </c>
      <c r="I45" t="s">
        <v>811</v>
      </c>
    </row>
    <row r="46" spans="1:9" ht="11.25" customHeight="1">
      <c r="A46" t="s">
        <v>2248</v>
      </c>
      <c r="B46" t="s">
        <v>16</v>
      </c>
      <c r="C46" t="s">
        <v>2428</v>
      </c>
      <c r="D46" t="s">
        <v>2429</v>
      </c>
      <c r="E46" t="s">
        <v>2430</v>
      </c>
      <c r="F46" t="s">
        <v>2252</v>
      </c>
      <c r="G46" t="s">
        <v>2431</v>
      </c>
      <c r="H46" t="s">
        <v>22</v>
      </c>
      <c r="I46" t="s">
        <v>811</v>
      </c>
    </row>
    <row r="47" spans="1:9" ht="11.25" customHeight="1">
      <c r="A47" t="s">
        <v>2248</v>
      </c>
      <c r="B47" t="s">
        <v>16</v>
      </c>
      <c r="C47" t="s">
        <v>2432</v>
      </c>
      <c r="D47" t="s">
        <v>2433</v>
      </c>
      <c r="E47" t="s">
        <v>2434</v>
      </c>
      <c r="F47" t="s">
        <v>2252</v>
      </c>
      <c r="G47" t="s">
        <v>2410</v>
      </c>
      <c r="H47" t="s">
        <v>22</v>
      </c>
      <c r="I47" t="s">
        <v>811</v>
      </c>
    </row>
    <row r="48" spans="1:9" ht="11.25" customHeight="1">
      <c r="A48" t="s">
        <v>2248</v>
      </c>
      <c r="B48" t="s">
        <v>16</v>
      </c>
      <c r="C48" t="s">
        <v>2435</v>
      </c>
      <c r="D48" t="s">
        <v>2436</v>
      </c>
      <c r="E48" t="s">
        <v>2437</v>
      </c>
      <c r="F48" t="s">
        <v>2422</v>
      </c>
      <c r="G48" t="s">
        <v>2438</v>
      </c>
      <c r="H48" t="s">
        <v>22</v>
      </c>
      <c r="I48" t="s">
        <v>811</v>
      </c>
    </row>
    <row r="49" spans="1:9" ht="11.25" customHeight="1">
      <c r="A49" t="s">
        <v>2248</v>
      </c>
      <c r="B49" t="s">
        <v>16</v>
      </c>
      <c r="C49" t="s">
        <v>2439</v>
      </c>
      <c r="D49" t="s">
        <v>2440</v>
      </c>
      <c r="E49" t="s">
        <v>2441</v>
      </c>
      <c r="F49" t="s">
        <v>51</v>
      </c>
      <c r="G49" t="s">
        <v>2442</v>
      </c>
      <c r="H49" t="s">
        <v>22</v>
      </c>
      <c r="I49" t="s">
        <v>811</v>
      </c>
    </row>
    <row r="50" spans="1:9" ht="11.25" customHeight="1">
      <c r="A50" t="s">
        <v>2248</v>
      </c>
      <c r="B50" t="s">
        <v>16</v>
      </c>
      <c r="C50" t="s">
        <v>2443</v>
      </c>
      <c r="D50" t="s">
        <v>2444</v>
      </c>
      <c r="E50" t="s">
        <v>2445</v>
      </c>
      <c r="F50" t="s">
        <v>2446</v>
      </c>
      <c r="G50" t="s">
        <v>2447</v>
      </c>
      <c r="H50" t="s">
        <v>22</v>
      </c>
      <c r="I50" t="s">
        <v>811</v>
      </c>
    </row>
    <row r="51" spans="1:9" ht="11.25" customHeight="1">
      <c r="A51" t="s">
        <v>2248</v>
      </c>
      <c r="B51" t="s">
        <v>16</v>
      </c>
      <c r="C51" t="s">
        <v>2448</v>
      </c>
      <c r="D51" t="s">
        <v>2449</v>
      </c>
      <c r="E51" t="s">
        <v>2450</v>
      </c>
      <c r="F51" t="s">
        <v>51</v>
      </c>
      <c r="G51" t="s">
        <v>2451</v>
      </c>
      <c r="H51" t="s">
        <v>22</v>
      </c>
      <c r="I51" t="s">
        <v>811</v>
      </c>
    </row>
    <row r="52" spans="1:9" ht="11.25" customHeight="1">
      <c r="A52" t="s">
        <v>2248</v>
      </c>
      <c r="B52" t="s">
        <v>16</v>
      </c>
      <c r="C52" t="s">
        <v>2452</v>
      </c>
      <c r="D52" t="s">
        <v>2453</v>
      </c>
      <c r="E52" t="s">
        <v>2454</v>
      </c>
      <c r="F52" t="s">
        <v>2357</v>
      </c>
      <c r="G52" t="s">
        <v>2361</v>
      </c>
      <c r="H52" t="s">
        <v>22</v>
      </c>
      <c r="I52" t="s">
        <v>811</v>
      </c>
    </row>
    <row r="53" spans="1:9" ht="11.25" customHeight="1">
      <c r="A53" t="s">
        <v>2248</v>
      </c>
      <c r="B53" t="s">
        <v>16</v>
      </c>
      <c r="C53" t="s">
        <v>2455</v>
      </c>
      <c r="D53" t="s">
        <v>2456</v>
      </c>
      <c r="E53" t="s">
        <v>2457</v>
      </c>
      <c r="F53" t="s">
        <v>51</v>
      </c>
      <c r="G53" t="s">
        <v>2458</v>
      </c>
      <c r="H53" t="s">
        <v>22</v>
      </c>
      <c r="I53" t="s">
        <v>811</v>
      </c>
    </row>
    <row r="54" spans="1:9" ht="11.25" customHeight="1">
      <c r="A54" t="s">
        <v>2248</v>
      </c>
      <c r="B54" t="s">
        <v>16</v>
      </c>
      <c r="C54" t="s">
        <v>2459</v>
      </c>
      <c r="D54" t="s">
        <v>2460</v>
      </c>
      <c r="E54" t="s">
        <v>2461</v>
      </c>
      <c r="F54" t="s">
        <v>51</v>
      </c>
      <c r="G54" t="s">
        <v>2462</v>
      </c>
      <c r="H54" t="s">
        <v>22</v>
      </c>
      <c r="I54" t="s">
        <v>811</v>
      </c>
    </row>
    <row r="55" spans="1:9" ht="11.25" customHeight="1">
      <c r="A55" t="s">
        <v>2248</v>
      </c>
      <c r="B55" t="s">
        <v>16</v>
      </c>
      <c r="C55" t="s">
        <v>2463</v>
      </c>
      <c r="D55" t="s">
        <v>2464</v>
      </c>
      <c r="E55" t="s">
        <v>2465</v>
      </c>
      <c r="F55" t="s">
        <v>51</v>
      </c>
      <c r="G55" t="s">
        <v>2466</v>
      </c>
      <c r="H55" t="s">
        <v>22</v>
      </c>
      <c r="I55" t="s">
        <v>811</v>
      </c>
    </row>
    <row r="56" spans="1:9" ht="11.25" customHeight="1">
      <c r="A56" t="s">
        <v>2248</v>
      </c>
      <c r="B56" t="s">
        <v>16</v>
      </c>
      <c r="C56" t="s">
        <v>2467</v>
      </c>
      <c r="D56" t="s">
        <v>2468</v>
      </c>
      <c r="E56" t="s">
        <v>2469</v>
      </c>
      <c r="F56" t="s">
        <v>2446</v>
      </c>
      <c r="G56" t="s">
        <v>22</v>
      </c>
      <c r="H56" t="s">
        <v>22</v>
      </c>
      <c r="I56" t="s">
        <v>811</v>
      </c>
    </row>
    <row r="57" spans="1:9" ht="11.25" customHeight="1">
      <c r="A57" t="s">
        <v>2248</v>
      </c>
      <c r="B57" t="s">
        <v>16</v>
      </c>
      <c r="C57" t="s">
        <v>2470</v>
      </c>
      <c r="D57" t="s">
        <v>2471</v>
      </c>
      <c r="E57" t="s">
        <v>2472</v>
      </c>
      <c r="F57" t="s">
        <v>2473</v>
      </c>
      <c r="G57" t="s">
        <v>2474</v>
      </c>
      <c r="H57" t="s">
        <v>22</v>
      </c>
      <c r="I57" t="s">
        <v>811</v>
      </c>
    </row>
    <row r="58" spans="1:9" ht="11.25" customHeight="1">
      <c r="A58" t="s">
        <v>2248</v>
      </c>
      <c r="B58" t="s">
        <v>16</v>
      </c>
      <c r="C58" t="s">
        <v>2475</v>
      </c>
      <c r="D58" t="s">
        <v>2476</v>
      </c>
      <c r="E58" t="s">
        <v>2477</v>
      </c>
      <c r="F58" t="s">
        <v>51</v>
      </c>
      <c r="G58" t="s">
        <v>2478</v>
      </c>
      <c r="H58" t="s">
        <v>22</v>
      </c>
      <c r="I58" t="s">
        <v>811</v>
      </c>
    </row>
    <row r="59" spans="1:9" ht="11.25" customHeight="1">
      <c r="A59" t="s">
        <v>2248</v>
      </c>
      <c r="B59" t="s">
        <v>16</v>
      </c>
      <c r="C59" t="s">
        <v>2479</v>
      </c>
      <c r="D59" t="s">
        <v>2480</v>
      </c>
      <c r="E59" t="s">
        <v>2481</v>
      </c>
      <c r="F59" t="s">
        <v>2422</v>
      </c>
      <c r="G59" t="s">
        <v>22</v>
      </c>
      <c r="H59" t="s">
        <v>22</v>
      </c>
      <c r="I59" t="s">
        <v>811</v>
      </c>
    </row>
    <row r="60" spans="1:9" ht="11.25" customHeight="1">
      <c r="A60" t="s">
        <v>2248</v>
      </c>
      <c r="B60" t="s">
        <v>16</v>
      </c>
      <c r="C60" t="s">
        <v>2482</v>
      </c>
      <c r="D60" t="s">
        <v>2483</v>
      </c>
      <c r="E60" t="s">
        <v>2484</v>
      </c>
      <c r="F60" t="s">
        <v>2378</v>
      </c>
      <c r="G60" t="s">
        <v>2336</v>
      </c>
      <c r="H60" t="s">
        <v>22</v>
      </c>
      <c r="I60" t="s">
        <v>811</v>
      </c>
    </row>
    <row r="61" spans="1:9" ht="11.25" customHeight="1">
      <c r="A61" t="s">
        <v>2248</v>
      </c>
      <c r="B61" t="s">
        <v>16</v>
      </c>
      <c r="C61" t="s">
        <v>2485</v>
      </c>
      <c r="D61" t="s">
        <v>2486</v>
      </c>
      <c r="E61" t="s">
        <v>2487</v>
      </c>
      <c r="F61" t="s">
        <v>51</v>
      </c>
      <c r="G61" t="s">
        <v>2488</v>
      </c>
      <c r="H61" t="s">
        <v>22</v>
      </c>
      <c r="I61" t="s">
        <v>811</v>
      </c>
    </row>
    <row r="62" spans="1:9" ht="11.25" customHeight="1">
      <c r="A62" t="s">
        <v>2248</v>
      </c>
      <c r="B62" t="s">
        <v>16</v>
      </c>
      <c r="C62" t="s">
        <v>2489</v>
      </c>
      <c r="D62" t="s">
        <v>2490</v>
      </c>
      <c r="E62" t="s">
        <v>2491</v>
      </c>
      <c r="F62" t="s">
        <v>51</v>
      </c>
      <c r="G62" t="s">
        <v>2492</v>
      </c>
      <c r="H62" t="s">
        <v>22</v>
      </c>
      <c r="I62" t="s">
        <v>811</v>
      </c>
    </row>
    <row r="63" spans="1:9" ht="11.25" customHeight="1">
      <c r="A63" t="s">
        <v>2248</v>
      </c>
      <c r="B63" t="s">
        <v>16</v>
      </c>
      <c r="C63" t="s">
        <v>2493</v>
      </c>
      <c r="D63" t="s">
        <v>2494</v>
      </c>
      <c r="E63" t="s">
        <v>2495</v>
      </c>
      <c r="F63" t="s">
        <v>2422</v>
      </c>
      <c r="G63" t="s">
        <v>2496</v>
      </c>
      <c r="H63" t="s">
        <v>22</v>
      </c>
      <c r="I63" t="s">
        <v>811</v>
      </c>
    </row>
    <row r="64" spans="1:9" ht="11.25" customHeight="1">
      <c r="A64" t="s">
        <v>2248</v>
      </c>
      <c r="B64" t="s">
        <v>16</v>
      </c>
      <c r="C64" t="s">
        <v>2497</v>
      </c>
      <c r="D64" t="s">
        <v>2498</v>
      </c>
      <c r="E64" t="s">
        <v>2499</v>
      </c>
      <c r="F64" t="s">
        <v>2378</v>
      </c>
      <c r="G64" t="s">
        <v>2391</v>
      </c>
      <c r="H64" t="s">
        <v>22</v>
      </c>
      <c r="I64" t="s">
        <v>811</v>
      </c>
    </row>
    <row r="65" spans="1:9" ht="11.25" customHeight="1">
      <c r="A65" t="s">
        <v>2248</v>
      </c>
      <c r="B65" t="s">
        <v>16</v>
      </c>
      <c r="C65" t="s">
        <v>2500</v>
      </c>
      <c r="D65" t="s">
        <v>2501</v>
      </c>
      <c r="E65" t="s">
        <v>2502</v>
      </c>
      <c r="F65" t="s">
        <v>2503</v>
      </c>
      <c r="G65" t="s">
        <v>2504</v>
      </c>
      <c r="H65" t="s">
        <v>22</v>
      </c>
      <c r="I65" t="s">
        <v>811</v>
      </c>
    </row>
    <row r="66" spans="1:9" ht="11.25" customHeight="1">
      <c r="A66" t="s">
        <v>2248</v>
      </c>
      <c r="B66" t="s">
        <v>16</v>
      </c>
      <c r="C66" t="s">
        <v>2505</v>
      </c>
      <c r="D66" t="s">
        <v>2506</v>
      </c>
      <c r="E66" t="s">
        <v>2507</v>
      </c>
      <c r="F66" t="s">
        <v>2378</v>
      </c>
      <c r="G66" t="s">
        <v>2387</v>
      </c>
      <c r="H66" t="s">
        <v>22</v>
      </c>
      <c r="I66" t="s">
        <v>811</v>
      </c>
    </row>
    <row r="67" spans="1:9" ht="11.25" customHeight="1">
      <c r="A67" t="s">
        <v>2248</v>
      </c>
      <c r="B67" t="s">
        <v>16</v>
      </c>
      <c r="C67" t="s">
        <v>2508</v>
      </c>
      <c r="D67" t="s">
        <v>2509</v>
      </c>
      <c r="E67" t="s">
        <v>2510</v>
      </c>
      <c r="F67" t="s">
        <v>2349</v>
      </c>
      <c r="G67" t="s">
        <v>2511</v>
      </c>
      <c r="H67" t="s">
        <v>22</v>
      </c>
      <c r="I67" t="s">
        <v>811</v>
      </c>
    </row>
    <row r="68" spans="1:9" ht="11.25" customHeight="1">
      <c r="A68" t="s">
        <v>2248</v>
      </c>
      <c r="B68" t="s">
        <v>16</v>
      </c>
      <c r="C68" t="s">
        <v>2512</v>
      </c>
      <c r="D68" t="s">
        <v>2513</v>
      </c>
      <c r="E68" t="s">
        <v>2514</v>
      </c>
      <c r="F68" t="s">
        <v>2349</v>
      </c>
      <c r="G68" t="s">
        <v>2515</v>
      </c>
      <c r="H68" t="s">
        <v>22</v>
      </c>
      <c r="I68" t="s">
        <v>811</v>
      </c>
    </row>
    <row r="69" spans="1:9" ht="11.25" customHeight="1">
      <c r="A69" t="s">
        <v>2248</v>
      </c>
      <c r="B69" t="s">
        <v>16</v>
      </c>
      <c r="C69" t="s">
        <v>2516</v>
      </c>
      <c r="D69" t="s">
        <v>2517</v>
      </c>
      <c r="E69" t="s">
        <v>2518</v>
      </c>
      <c r="F69" t="s">
        <v>2349</v>
      </c>
      <c r="G69" t="s">
        <v>2519</v>
      </c>
      <c r="H69" t="s">
        <v>22</v>
      </c>
      <c r="I69" t="s">
        <v>811</v>
      </c>
    </row>
    <row r="70" spans="1:9" ht="11.25" customHeight="1">
      <c r="A70" t="s">
        <v>2248</v>
      </c>
      <c r="B70" t="s">
        <v>16</v>
      </c>
      <c r="C70" t="s">
        <v>2520</v>
      </c>
      <c r="D70" t="s">
        <v>2521</v>
      </c>
      <c r="E70" t="s">
        <v>2522</v>
      </c>
      <c r="F70" t="s">
        <v>51</v>
      </c>
      <c r="G70" t="s">
        <v>2523</v>
      </c>
      <c r="H70" t="s">
        <v>22</v>
      </c>
      <c r="I70" t="s">
        <v>811</v>
      </c>
    </row>
    <row r="71" spans="1:9" ht="11.25" customHeight="1">
      <c r="A71" t="s">
        <v>2248</v>
      </c>
      <c r="B71" t="s">
        <v>16</v>
      </c>
      <c r="C71" t="s">
        <v>2524</v>
      </c>
      <c r="D71" t="s">
        <v>2525</v>
      </c>
      <c r="E71" t="s">
        <v>2526</v>
      </c>
      <c r="F71" t="s">
        <v>2368</v>
      </c>
      <c r="G71" t="s">
        <v>2462</v>
      </c>
      <c r="H71" t="s">
        <v>2527</v>
      </c>
      <c r="I71" t="s">
        <v>811</v>
      </c>
    </row>
    <row r="72" spans="1:9" ht="11.25" customHeight="1">
      <c r="A72" t="s">
        <v>2248</v>
      </c>
      <c r="B72" t="s">
        <v>16</v>
      </c>
      <c r="C72" t="s">
        <v>2528</v>
      </c>
      <c r="D72" t="s">
        <v>2529</v>
      </c>
      <c r="E72" t="s">
        <v>2530</v>
      </c>
      <c r="F72" t="s">
        <v>2349</v>
      </c>
      <c r="G72" t="s">
        <v>2531</v>
      </c>
      <c r="H72" t="s">
        <v>22</v>
      </c>
      <c r="I72" t="s">
        <v>811</v>
      </c>
    </row>
    <row r="73" spans="1:9" ht="11.25" customHeight="1">
      <c r="A73" t="s">
        <v>2248</v>
      </c>
      <c r="B73" t="s">
        <v>16</v>
      </c>
      <c r="C73" t="s">
        <v>2532</v>
      </c>
      <c r="D73" t="s">
        <v>2533</v>
      </c>
      <c r="E73" t="s">
        <v>2534</v>
      </c>
      <c r="F73" t="s">
        <v>2357</v>
      </c>
      <c r="G73" t="s">
        <v>2361</v>
      </c>
      <c r="H73" t="s">
        <v>22</v>
      </c>
      <c r="I73" t="s">
        <v>811</v>
      </c>
    </row>
    <row r="74" spans="1:9" ht="11.25" customHeight="1">
      <c r="A74" t="s">
        <v>2248</v>
      </c>
      <c r="B74" t="s">
        <v>16</v>
      </c>
      <c r="C74" t="s">
        <v>2535</v>
      </c>
      <c r="D74" t="s">
        <v>2536</v>
      </c>
      <c r="E74" t="s">
        <v>2537</v>
      </c>
      <c r="F74" t="s">
        <v>2357</v>
      </c>
      <c r="G74" t="s">
        <v>2538</v>
      </c>
      <c r="H74" t="s">
        <v>22</v>
      </c>
      <c r="I74" t="s">
        <v>811</v>
      </c>
    </row>
    <row r="75" spans="1:9" ht="11.25" customHeight="1">
      <c r="A75" t="s">
        <v>2248</v>
      </c>
      <c r="B75" t="s">
        <v>16</v>
      </c>
      <c r="C75" t="s">
        <v>2539</v>
      </c>
      <c r="D75" t="s">
        <v>2540</v>
      </c>
      <c r="E75" t="s">
        <v>2541</v>
      </c>
      <c r="F75" t="s">
        <v>2357</v>
      </c>
      <c r="G75" t="s">
        <v>2538</v>
      </c>
      <c r="H75" t="s">
        <v>22</v>
      </c>
      <c r="I75" t="s">
        <v>811</v>
      </c>
    </row>
    <row r="76" spans="1:9" ht="11.25" customHeight="1">
      <c r="A76" t="s">
        <v>2248</v>
      </c>
      <c r="B76" t="s">
        <v>16</v>
      </c>
      <c r="C76" t="s">
        <v>2542</v>
      </c>
      <c r="D76" t="s">
        <v>2543</v>
      </c>
      <c r="E76" t="s">
        <v>2544</v>
      </c>
      <c r="F76" t="s">
        <v>2357</v>
      </c>
      <c r="G76" t="s">
        <v>22</v>
      </c>
      <c r="H76" t="s">
        <v>22</v>
      </c>
      <c r="I76" t="s">
        <v>811</v>
      </c>
    </row>
    <row r="77" spans="1:9" ht="11.25" customHeight="1">
      <c r="A77" t="s">
        <v>2248</v>
      </c>
      <c r="B77" t="s">
        <v>16</v>
      </c>
      <c r="C77" t="s">
        <v>2545</v>
      </c>
      <c r="D77" t="s">
        <v>2546</v>
      </c>
      <c r="E77" t="s">
        <v>2547</v>
      </c>
      <c r="F77" t="s">
        <v>51</v>
      </c>
      <c r="G77" t="s">
        <v>2548</v>
      </c>
      <c r="H77" t="s">
        <v>22</v>
      </c>
      <c r="I77" t="s">
        <v>811</v>
      </c>
    </row>
    <row r="78" spans="1:9" ht="11.25" customHeight="1">
      <c r="A78" t="s">
        <v>2248</v>
      </c>
      <c r="B78" t="s">
        <v>16</v>
      </c>
      <c r="C78" t="s">
        <v>2549</v>
      </c>
      <c r="D78" t="s">
        <v>2550</v>
      </c>
      <c r="E78" t="s">
        <v>2551</v>
      </c>
      <c r="F78" t="s">
        <v>51</v>
      </c>
      <c r="G78" t="s">
        <v>2552</v>
      </c>
      <c r="H78" t="s">
        <v>22</v>
      </c>
      <c r="I78" t="s">
        <v>811</v>
      </c>
    </row>
    <row r="79" spans="1:9" ht="11.25" customHeight="1">
      <c r="A79" t="s">
        <v>2248</v>
      </c>
      <c r="B79" t="s">
        <v>16</v>
      </c>
      <c r="C79" t="s">
        <v>2553</v>
      </c>
      <c r="D79" t="s">
        <v>2554</v>
      </c>
      <c r="E79" t="s">
        <v>2555</v>
      </c>
      <c r="F79" t="s">
        <v>2378</v>
      </c>
      <c r="G79" t="s">
        <v>2556</v>
      </c>
      <c r="H79" t="s">
        <v>22</v>
      </c>
      <c r="I79" t="s">
        <v>811</v>
      </c>
    </row>
    <row r="80" spans="1:9" ht="11.25" customHeight="1">
      <c r="A80" t="s">
        <v>2248</v>
      </c>
      <c r="B80" t="s">
        <v>16</v>
      </c>
      <c r="C80" t="s">
        <v>2557</v>
      </c>
      <c r="D80" t="s">
        <v>2558</v>
      </c>
      <c r="E80" t="s">
        <v>2559</v>
      </c>
      <c r="F80" t="s">
        <v>2357</v>
      </c>
      <c r="G80" t="s">
        <v>2560</v>
      </c>
      <c r="H80" t="s">
        <v>22</v>
      </c>
      <c r="I80" t="s">
        <v>811</v>
      </c>
    </row>
    <row r="81" spans="1:9" ht="11.25" customHeight="1">
      <c r="A81" t="s">
        <v>2248</v>
      </c>
      <c r="B81" t="s">
        <v>16</v>
      </c>
      <c r="C81" t="s">
        <v>2561</v>
      </c>
      <c r="D81" t="s">
        <v>2562</v>
      </c>
      <c r="E81" t="s">
        <v>2563</v>
      </c>
      <c r="F81" t="s">
        <v>2564</v>
      </c>
      <c r="G81" t="s">
        <v>2565</v>
      </c>
      <c r="H81" t="s">
        <v>22</v>
      </c>
      <c r="I81" t="s">
        <v>811</v>
      </c>
    </row>
    <row r="82" spans="1:9" ht="11.25" customHeight="1">
      <c r="A82" t="s">
        <v>2248</v>
      </c>
      <c r="B82" t="s">
        <v>16</v>
      </c>
      <c r="C82" t="s">
        <v>2566</v>
      </c>
      <c r="D82" t="s">
        <v>2567</v>
      </c>
      <c r="E82" t="s">
        <v>2568</v>
      </c>
      <c r="F82" t="s">
        <v>2257</v>
      </c>
      <c r="G82" t="s">
        <v>2569</v>
      </c>
      <c r="H82" t="s">
        <v>22</v>
      </c>
      <c r="I82" t="s">
        <v>811</v>
      </c>
    </row>
    <row r="83" spans="1:9" ht="11.25" customHeight="1">
      <c r="A83" t="s">
        <v>2248</v>
      </c>
      <c r="B83" t="s">
        <v>16</v>
      </c>
      <c r="C83" t="s">
        <v>2570</v>
      </c>
      <c r="D83" t="s">
        <v>2571</v>
      </c>
      <c r="E83" t="s">
        <v>2572</v>
      </c>
      <c r="F83" t="s">
        <v>2283</v>
      </c>
      <c r="G83" t="s">
        <v>2288</v>
      </c>
      <c r="H83" t="s">
        <v>22</v>
      </c>
      <c r="I83" t="s">
        <v>811</v>
      </c>
    </row>
    <row r="84" spans="1:9" ht="11.25" customHeight="1">
      <c r="A84" t="s">
        <v>2248</v>
      </c>
      <c r="B84" t="s">
        <v>16</v>
      </c>
      <c r="C84" t="s">
        <v>2573</v>
      </c>
      <c r="D84" t="s">
        <v>2574</v>
      </c>
      <c r="E84" t="s">
        <v>2575</v>
      </c>
      <c r="F84" t="s">
        <v>2292</v>
      </c>
      <c r="G84" t="s">
        <v>2576</v>
      </c>
      <c r="H84" t="s">
        <v>22</v>
      </c>
      <c r="I84" t="s">
        <v>811</v>
      </c>
    </row>
    <row r="85" spans="1:9" ht="11.25" customHeight="1">
      <c r="A85" t="s">
        <v>2248</v>
      </c>
      <c r="B85" t="s">
        <v>16</v>
      </c>
      <c r="C85" t="s">
        <v>2577</v>
      </c>
      <c r="D85" t="s">
        <v>2578</v>
      </c>
      <c r="E85" t="s">
        <v>2579</v>
      </c>
      <c r="F85" t="s">
        <v>2580</v>
      </c>
      <c r="G85" t="s">
        <v>2581</v>
      </c>
      <c r="H85" t="s">
        <v>22</v>
      </c>
      <c r="I85" t="s">
        <v>811</v>
      </c>
    </row>
    <row r="86" spans="1:9" ht="11.25" customHeight="1">
      <c r="A86" t="s">
        <v>2248</v>
      </c>
      <c r="B86" t="s">
        <v>16</v>
      </c>
      <c r="C86" t="s">
        <v>2582</v>
      </c>
      <c r="D86" t="s">
        <v>2583</v>
      </c>
      <c r="E86" t="s">
        <v>2584</v>
      </c>
      <c r="F86" t="s">
        <v>2580</v>
      </c>
      <c r="G86" t="s">
        <v>2585</v>
      </c>
      <c r="H86" t="s">
        <v>22</v>
      </c>
      <c r="I86" t="s">
        <v>811</v>
      </c>
    </row>
    <row r="87" spans="1:9" ht="11.25" customHeight="1">
      <c r="A87" t="s">
        <v>2248</v>
      </c>
      <c r="B87" t="s">
        <v>16</v>
      </c>
      <c r="C87" t="s">
        <v>2586</v>
      </c>
      <c r="D87" t="s">
        <v>2587</v>
      </c>
      <c r="E87" t="s">
        <v>2588</v>
      </c>
      <c r="F87" t="s">
        <v>2357</v>
      </c>
      <c r="G87" t="s">
        <v>2589</v>
      </c>
      <c r="H87" t="s">
        <v>22</v>
      </c>
      <c r="I87" t="s">
        <v>811</v>
      </c>
    </row>
    <row r="88" spans="1:9" ht="11.25" customHeight="1">
      <c r="A88" t="s">
        <v>2248</v>
      </c>
      <c r="B88" t="s">
        <v>16</v>
      </c>
      <c r="C88" t="s">
        <v>2590</v>
      </c>
      <c r="D88" t="s">
        <v>2591</v>
      </c>
      <c r="E88" t="s">
        <v>2592</v>
      </c>
      <c r="F88" t="s">
        <v>2357</v>
      </c>
      <c r="G88" t="s">
        <v>22</v>
      </c>
      <c r="H88" t="s">
        <v>22</v>
      </c>
      <c r="I88" t="s">
        <v>811</v>
      </c>
    </row>
    <row r="89" spans="1:9" ht="11.25" customHeight="1">
      <c r="A89" t="s">
        <v>2248</v>
      </c>
      <c r="B89" t="s">
        <v>16</v>
      </c>
      <c r="C89" t="s">
        <v>2593</v>
      </c>
      <c r="D89" t="s">
        <v>2594</v>
      </c>
      <c r="E89" t="s">
        <v>2595</v>
      </c>
      <c r="F89" t="s">
        <v>2257</v>
      </c>
      <c r="G89" t="s">
        <v>2596</v>
      </c>
      <c r="H89" t="s">
        <v>22</v>
      </c>
      <c r="I89" t="s">
        <v>811</v>
      </c>
    </row>
    <row r="90" spans="1:9" ht="11.25" customHeight="1">
      <c r="A90" t="s">
        <v>2248</v>
      </c>
      <c r="B90" t="s">
        <v>16</v>
      </c>
      <c r="C90" t="s">
        <v>2597</v>
      </c>
      <c r="D90" t="s">
        <v>2598</v>
      </c>
      <c r="E90" t="s">
        <v>2599</v>
      </c>
      <c r="F90" t="s">
        <v>2326</v>
      </c>
      <c r="G90" t="s">
        <v>2600</v>
      </c>
      <c r="H90" t="s">
        <v>22</v>
      </c>
      <c r="I90" t="s">
        <v>811</v>
      </c>
    </row>
    <row r="91" spans="1:9" ht="11.25" customHeight="1">
      <c r="A91" t="s">
        <v>2248</v>
      </c>
      <c r="B91" t="s">
        <v>16</v>
      </c>
      <c r="C91" t="s">
        <v>2601</v>
      </c>
      <c r="D91" t="s">
        <v>2602</v>
      </c>
      <c r="E91" t="s">
        <v>2603</v>
      </c>
      <c r="F91" t="s">
        <v>51</v>
      </c>
      <c r="G91" t="s">
        <v>2604</v>
      </c>
      <c r="H91" t="s">
        <v>22</v>
      </c>
      <c r="I91" t="s">
        <v>811</v>
      </c>
    </row>
    <row r="92" spans="1:9" ht="11.25" customHeight="1">
      <c r="A92" t="s">
        <v>2248</v>
      </c>
      <c r="B92" t="s">
        <v>16</v>
      </c>
      <c r="C92" t="s">
        <v>13</v>
      </c>
      <c r="D92" t="s">
        <v>46</v>
      </c>
      <c r="E92" t="s">
        <v>49</v>
      </c>
      <c r="F92" t="s">
        <v>51</v>
      </c>
      <c r="G92" t="s">
        <v>2605</v>
      </c>
      <c r="H92" t="s">
        <v>22</v>
      </c>
      <c r="I92" t="s">
        <v>811</v>
      </c>
    </row>
    <row r="93" spans="1:9" ht="11.25" customHeight="1">
      <c r="A93" t="s">
        <v>2248</v>
      </c>
      <c r="B93" t="s">
        <v>16</v>
      </c>
      <c r="C93" t="s">
        <v>2606</v>
      </c>
      <c r="D93" t="s">
        <v>2607</v>
      </c>
      <c r="E93" t="s">
        <v>2608</v>
      </c>
      <c r="F93" t="s">
        <v>2257</v>
      </c>
      <c r="G93" t="s">
        <v>2609</v>
      </c>
      <c r="H93" t="s">
        <v>22</v>
      </c>
      <c r="I93" t="s">
        <v>811</v>
      </c>
    </row>
    <row r="94" spans="1:9" ht="11.25" customHeight="1">
      <c r="A94" t="s">
        <v>2248</v>
      </c>
      <c r="B94" t="s">
        <v>16</v>
      </c>
      <c r="C94" t="s">
        <v>2610</v>
      </c>
      <c r="D94" t="s">
        <v>2611</v>
      </c>
      <c r="E94" t="s">
        <v>2612</v>
      </c>
      <c r="F94" t="s">
        <v>2613</v>
      </c>
      <c r="G94" t="s">
        <v>2614</v>
      </c>
      <c r="H94" t="s">
        <v>22</v>
      </c>
      <c r="I94" t="s">
        <v>811</v>
      </c>
    </row>
    <row r="95" spans="1:9" ht="11.25" customHeight="1">
      <c r="A95" t="s">
        <v>2248</v>
      </c>
      <c r="B95" t="s">
        <v>16</v>
      </c>
      <c r="C95" t="s">
        <v>2615</v>
      </c>
      <c r="D95" t="s">
        <v>2611</v>
      </c>
      <c r="E95" t="s">
        <v>2612</v>
      </c>
      <c r="F95" t="s">
        <v>2616</v>
      </c>
      <c r="G95" t="s">
        <v>2614</v>
      </c>
      <c r="H95" t="s">
        <v>22</v>
      </c>
      <c r="I95" t="s">
        <v>811</v>
      </c>
    </row>
    <row r="96" spans="1:9" ht="11.25" customHeight="1">
      <c r="A96" t="s">
        <v>2248</v>
      </c>
      <c r="B96" t="s">
        <v>16</v>
      </c>
      <c r="C96" t="s">
        <v>2617</v>
      </c>
      <c r="D96" t="s">
        <v>2618</v>
      </c>
      <c r="E96" t="s">
        <v>2619</v>
      </c>
      <c r="F96" t="s">
        <v>51</v>
      </c>
      <c r="G96" t="s">
        <v>2620</v>
      </c>
      <c r="H96" t="s">
        <v>22</v>
      </c>
      <c r="I96" t="s">
        <v>811</v>
      </c>
    </row>
    <row r="97" spans="1:9" ht="11.25" customHeight="1">
      <c r="A97" t="s">
        <v>2248</v>
      </c>
      <c r="B97" t="s">
        <v>16</v>
      </c>
      <c r="C97" t="s">
        <v>2621</v>
      </c>
      <c r="D97" t="s">
        <v>2622</v>
      </c>
      <c r="E97" t="s">
        <v>2623</v>
      </c>
      <c r="F97" t="s">
        <v>2422</v>
      </c>
      <c r="G97" t="s">
        <v>22</v>
      </c>
      <c r="H97" t="s">
        <v>2624</v>
      </c>
      <c r="I97" t="s">
        <v>811</v>
      </c>
    </row>
    <row r="98" spans="1:9" ht="11.25" customHeight="1">
      <c r="A98" t="s">
        <v>2248</v>
      </c>
      <c r="B98" t="s">
        <v>16</v>
      </c>
      <c r="C98" t="s">
        <v>2625</v>
      </c>
      <c r="D98" t="s">
        <v>2626</v>
      </c>
      <c r="E98" t="s">
        <v>2627</v>
      </c>
      <c r="F98" t="s">
        <v>2257</v>
      </c>
      <c r="G98" t="s">
        <v>2628</v>
      </c>
      <c r="H98" t="s">
        <v>22</v>
      </c>
      <c r="I98" t="s">
        <v>811</v>
      </c>
    </row>
    <row r="99" spans="1:9" ht="11.25" customHeight="1">
      <c r="A99" t="s">
        <v>2248</v>
      </c>
      <c r="B99" t="s">
        <v>16</v>
      </c>
      <c r="C99" t="s">
        <v>2629</v>
      </c>
      <c r="D99" t="s">
        <v>2630</v>
      </c>
      <c r="E99" t="s">
        <v>2631</v>
      </c>
      <c r="F99" t="s">
        <v>2257</v>
      </c>
      <c r="G99" t="s">
        <v>2632</v>
      </c>
      <c r="H99" t="s">
        <v>22</v>
      </c>
      <c r="I99" t="s">
        <v>811</v>
      </c>
    </row>
    <row r="100" spans="1:9" ht="11.25" customHeight="1">
      <c r="A100" t="s">
        <v>2248</v>
      </c>
      <c r="B100" t="s">
        <v>16</v>
      </c>
      <c r="C100" t="s">
        <v>2633</v>
      </c>
      <c r="D100" t="s">
        <v>2634</v>
      </c>
      <c r="E100" t="s">
        <v>2635</v>
      </c>
      <c r="F100" t="s">
        <v>51</v>
      </c>
      <c r="G100" t="s">
        <v>2636</v>
      </c>
      <c r="H100" t="s">
        <v>2637</v>
      </c>
      <c r="I100" t="s">
        <v>811</v>
      </c>
    </row>
    <row r="101" spans="1:9" ht="11.25" customHeight="1">
      <c r="A101" t="s">
        <v>2248</v>
      </c>
      <c r="B101" t="s">
        <v>16</v>
      </c>
      <c r="C101" t="s">
        <v>2638</v>
      </c>
      <c r="D101" t="s">
        <v>2639</v>
      </c>
      <c r="E101" t="s">
        <v>2640</v>
      </c>
      <c r="F101" t="s">
        <v>2503</v>
      </c>
      <c r="G101" t="s">
        <v>2641</v>
      </c>
      <c r="H101" t="s">
        <v>22</v>
      </c>
      <c r="I101" t="s">
        <v>811</v>
      </c>
    </row>
    <row r="102" spans="1:9" ht="11.25" customHeight="1">
      <c r="A102" t="s">
        <v>2248</v>
      </c>
      <c r="B102" t="s">
        <v>16</v>
      </c>
      <c r="C102" t="s">
        <v>2642</v>
      </c>
      <c r="D102" t="s">
        <v>2643</v>
      </c>
      <c r="E102" t="s">
        <v>2644</v>
      </c>
      <c r="F102" t="s">
        <v>2257</v>
      </c>
      <c r="G102" t="s">
        <v>2645</v>
      </c>
      <c r="H102" t="s">
        <v>22</v>
      </c>
      <c r="I102" t="s">
        <v>811</v>
      </c>
    </row>
    <row r="103" spans="1:9" ht="11.25" customHeight="1">
      <c r="A103" t="s">
        <v>2248</v>
      </c>
      <c r="B103" t="s">
        <v>16</v>
      </c>
      <c r="C103" t="s">
        <v>2646</v>
      </c>
      <c r="D103" t="s">
        <v>2647</v>
      </c>
      <c r="E103" t="s">
        <v>2648</v>
      </c>
      <c r="F103" t="s">
        <v>2257</v>
      </c>
      <c r="G103" t="s">
        <v>2649</v>
      </c>
      <c r="H103" t="s">
        <v>22</v>
      </c>
      <c r="I103" t="s">
        <v>811</v>
      </c>
    </row>
    <row r="104" spans="1:9" ht="11.25" customHeight="1">
      <c r="A104" t="s">
        <v>2248</v>
      </c>
      <c r="B104" t="s">
        <v>16</v>
      </c>
      <c r="C104" t="s">
        <v>2650</v>
      </c>
      <c r="D104" t="s">
        <v>2651</v>
      </c>
      <c r="E104" t="s">
        <v>2652</v>
      </c>
      <c r="F104" t="s">
        <v>2368</v>
      </c>
      <c r="G104" t="s">
        <v>2653</v>
      </c>
      <c r="H104" t="s">
        <v>22</v>
      </c>
      <c r="I104" t="s">
        <v>811</v>
      </c>
    </row>
    <row r="105" spans="1:9" ht="11.25" customHeight="1">
      <c r="A105" t="s">
        <v>2248</v>
      </c>
      <c r="B105" t="s">
        <v>16</v>
      </c>
      <c r="C105" t="s">
        <v>2654</v>
      </c>
      <c r="D105" t="s">
        <v>2655</v>
      </c>
      <c r="E105" t="s">
        <v>2656</v>
      </c>
      <c r="F105" t="s">
        <v>2257</v>
      </c>
      <c r="G105" t="s">
        <v>2657</v>
      </c>
      <c r="H105" t="s">
        <v>22</v>
      </c>
      <c r="I105" t="s">
        <v>811</v>
      </c>
    </row>
    <row r="106" spans="1:9" ht="11.25" customHeight="1">
      <c r="A106" t="s">
        <v>2248</v>
      </c>
      <c r="B106" t="s">
        <v>16</v>
      </c>
      <c r="C106" t="s">
        <v>2658</v>
      </c>
      <c r="D106" t="s">
        <v>2659</v>
      </c>
      <c r="E106" t="s">
        <v>2660</v>
      </c>
      <c r="F106" t="s">
        <v>51</v>
      </c>
      <c r="G106" t="s">
        <v>2661</v>
      </c>
      <c r="H106" t="s">
        <v>22</v>
      </c>
      <c r="I106" t="s">
        <v>811</v>
      </c>
    </row>
    <row r="107" spans="1:9" ht="11.25" customHeight="1">
      <c r="A107" t="s">
        <v>2248</v>
      </c>
      <c r="B107" t="s">
        <v>16</v>
      </c>
      <c r="C107" t="s">
        <v>2662</v>
      </c>
      <c r="D107" t="s">
        <v>2663</v>
      </c>
      <c r="E107" t="s">
        <v>2664</v>
      </c>
      <c r="F107" t="s">
        <v>2335</v>
      </c>
      <c r="G107" t="s">
        <v>2665</v>
      </c>
      <c r="H107" t="s">
        <v>22</v>
      </c>
      <c r="I107" t="s">
        <v>811</v>
      </c>
    </row>
    <row r="108" spans="1:9" ht="11.25" customHeight="1">
      <c r="A108" t="s">
        <v>2248</v>
      </c>
      <c r="B108" t="s">
        <v>16</v>
      </c>
      <c r="C108" t="s">
        <v>2666</v>
      </c>
      <c r="D108" t="s">
        <v>2667</v>
      </c>
      <c r="E108" t="s">
        <v>2668</v>
      </c>
      <c r="F108" t="s">
        <v>2257</v>
      </c>
      <c r="G108" t="s">
        <v>2669</v>
      </c>
      <c r="H108" t="s">
        <v>22</v>
      </c>
      <c r="I108" t="s">
        <v>811</v>
      </c>
    </row>
    <row r="109" spans="1:9" ht="11.25" customHeight="1">
      <c r="A109" t="s">
        <v>2248</v>
      </c>
      <c r="B109" t="s">
        <v>16</v>
      </c>
      <c r="C109" t="s">
        <v>2670</v>
      </c>
      <c r="D109" t="s">
        <v>2671</v>
      </c>
      <c r="E109" t="s">
        <v>2672</v>
      </c>
      <c r="F109" t="s">
        <v>51</v>
      </c>
      <c r="G109" t="s">
        <v>22</v>
      </c>
      <c r="H109" t="s">
        <v>22</v>
      </c>
      <c r="I109" t="s">
        <v>811</v>
      </c>
    </row>
    <row r="110" spans="1:9" ht="11.25" customHeight="1">
      <c r="A110" t="s">
        <v>2248</v>
      </c>
      <c r="B110" t="s">
        <v>16</v>
      </c>
      <c r="C110" t="s">
        <v>2673</v>
      </c>
      <c r="D110" t="s">
        <v>2674</v>
      </c>
      <c r="E110" t="s">
        <v>2675</v>
      </c>
      <c r="F110" t="s">
        <v>51</v>
      </c>
      <c r="G110" t="s">
        <v>2676</v>
      </c>
      <c r="H110" t="s">
        <v>22</v>
      </c>
      <c r="I110" t="s">
        <v>811</v>
      </c>
    </row>
    <row r="111" spans="1:9" ht="11.25" customHeight="1">
      <c r="A111" t="s">
        <v>2248</v>
      </c>
      <c r="B111" t="s">
        <v>16</v>
      </c>
      <c r="C111" t="s">
        <v>2677</v>
      </c>
      <c r="D111" t="s">
        <v>2674</v>
      </c>
      <c r="E111" t="s">
        <v>2678</v>
      </c>
      <c r="F111" t="s">
        <v>51</v>
      </c>
      <c r="G111" t="s">
        <v>2679</v>
      </c>
      <c r="H111" t="s">
        <v>22</v>
      </c>
      <c r="I111" t="s">
        <v>811</v>
      </c>
    </row>
    <row r="112" spans="1:9" ht="11.25" customHeight="1">
      <c r="A112" t="s">
        <v>2248</v>
      </c>
      <c r="B112" t="s">
        <v>16</v>
      </c>
      <c r="C112" t="s">
        <v>2680</v>
      </c>
      <c r="D112" t="s">
        <v>2681</v>
      </c>
      <c r="E112" t="s">
        <v>2682</v>
      </c>
      <c r="F112" t="s">
        <v>51</v>
      </c>
      <c r="G112" t="s">
        <v>2683</v>
      </c>
      <c r="H112" t="s">
        <v>22</v>
      </c>
      <c r="I112" t="s">
        <v>811</v>
      </c>
    </row>
    <row r="113" spans="1:9" ht="11.25" customHeight="1">
      <c r="A113" t="s">
        <v>2248</v>
      </c>
      <c r="B113" t="s">
        <v>16</v>
      </c>
      <c r="C113" t="s">
        <v>2684</v>
      </c>
      <c r="D113" t="s">
        <v>2685</v>
      </c>
      <c r="E113" t="s">
        <v>2686</v>
      </c>
      <c r="F113" t="s">
        <v>2335</v>
      </c>
      <c r="G113" t="s">
        <v>2687</v>
      </c>
      <c r="H113" t="s">
        <v>22</v>
      </c>
      <c r="I113" t="s">
        <v>811</v>
      </c>
    </row>
    <row r="114" spans="1:9" ht="11.25" customHeight="1">
      <c r="A114" t="s">
        <v>2248</v>
      </c>
      <c r="B114" t="s">
        <v>16</v>
      </c>
      <c r="C114" t="s">
        <v>2688</v>
      </c>
      <c r="D114" t="s">
        <v>2689</v>
      </c>
      <c r="E114" t="s">
        <v>2690</v>
      </c>
      <c r="F114" t="s">
        <v>2257</v>
      </c>
      <c r="G114" t="s">
        <v>2691</v>
      </c>
      <c r="H114" t="s">
        <v>22</v>
      </c>
      <c r="I114" t="s">
        <v>811</v>
      </c>
    </row>
    <row r="115" spans="1:9" ht="11.25" customHeight="1">
      <c r="A115" t="s">
        <v>2248</v>
      </c>
      <c r="B115" t="s">
        <v>16</v>
      </c>
      <c r="C115" t="s">
        <v>2692</v>
      </c>
      <c r="D115" t="s">
        <v>2693</v>
      </c>
      <c r="E115" t="s">
        <v>2694</v>
      </c>
      <c r="F115" t="s">
        <v>2283</v>
      </c>
      <c r="G115" t="s">
        <v>2695</v>
      </c>
      <c r="H115" t="s">
        <v>22</v>
      </c>
      <c r="I115" t="s">
        <v>811</v>
      </c>
    </row>
    <row r="116" spans="1:9" ht="11.25" customHeight="1">
      <c r="A116" t="s">
        <v>2248</v>
      </c>
      <c r="B116" t="s">
        <v>16</v>
      </c>
      <c r="C116" t="s">
        <v>2696</v>
      </c>
      <c r="D116" t="s">
        <v>2697</v>
      </c>
      <c r="E116" t="s">
        <v>2698</v>
      </c>
      <c r="F116" t="s">
        <v>2422</v>
      </c>
      <c r="G116" t="s">
        <v>2699</v>
      </c>
      <c r="H116" t="s">
        <v>22</v>
      </c>
      <c r="I116" t="s">
        <v>811</v>
      </c>
    </row>
    <row r="117" spans="1:9" ht="11.25" customHeight="1">
      <c r="A117" t="s">
        <v>2248</v>
      </c>
      <c r="B117" t="s">
        <v>16</v>
      </c>
      <c r="C117" t="s">
        <v>2700</v>
      </c>
      <c r="D117" t="s">
        <v>2701</v>
      </c>
      <c r="E117" t="s">
        <v>2702</v>
      </c>
      <c r="F117" t="s">
        <v>2703</v>
      </c>
      <c r="G117" t="s">
        <v>2704</v>
      </c>
      <c r="H117" t="s">
        <v>22</v>
      </c>
      <c r="I117" t="s">
        <v>811</v>
      </c>
    </row>
    <row r="118" spans="1:9" ht="11.25" customHeight="1">
      <c r="A118" t="s">
        <v>2248</v>
      </c>
      <c r="B118" t="s">
        <v>16</v>
      </c>
      <c r="C118" t="s">
        <v>2705</v>
      </c>
      <c r="D118" t="s">
        <v>2706</v>
      </c>
      <c r="E118" t="s">
        <v>2707</v>
      </c>
      <c r="F118" t="s">
        <v>2708</v>
      </c>
      <c r="G118" t="s">
        <v>2709</v>
      </c>
      <c r="H118" t="s">
        <v>22</v>
      </c>
      <c r="I118" t="s">
        <v>811</v>
      </c>
    </row>
    <row r="119" spans="1:9" ht="11.25" customHeight="1">
      <c r="A119" t="s">
        <v>2248</v>
      </c>
      <c r="B119" t="s">
        <v>16</v>
      </c>
      <c r="C119" t="s">
        <v>2710</v>
      </c>
      <c r="D119" t="s">
        <v>2711</v>
      </c>
      <c r="E119" t="s">
        <v>2712</v>
      </c>
      <c r="F119" t="s">
        <v>2257</v>
      </c>
      <c r="G119" t="s">
        <v>2713</v>
      </c>
      <c r="H119" t="s">
        <v>22</v>
      </c>
      <c r="I119" t="s">
        <v>811</v>
      </c>
    </row>
    <row r="120" spans="1:9" ht="11.25" customHeight="1">
      <c r="A120" t="s">
        <v>2248</v>
      </c>
      <c r="B120" t="s">
        <v>16</v>
      </c>
      <c r="C120" t="s">
        <v>2714</v>
      </c>
      <c r="D120" t="s">
        <v>2715</v>
      </c>
      <c r="E120" t="s">
        <v>2716</v>
      </c>
      <c r="F120" t="s">
        <v>2283</v>
      </c>
      <c r="G120" t="s">
        <v>2717</v>
      </c>
      <c r="H120" t="s">
        <v>22</v>
      </c>
      <c r="I120" t="s">
        <v>811</v>
      </c>
    </row>
    <row r="121" spans="1:9" ht="11.25" customHeight="1">
      <c r="A121" t="s">
        <v>2248</v>
      </c>
      <c r="B121" t="s">
        <v>16</v>
      </c>
      <c r="C121" t="s">
        <v>2718</v>
      </c>
      <c r="D121" t="s">
        <v>2719</v>
      </c>
      <c r="E121" t="s">
        <v>2720</v>
      </c>
      <c r="F121" t="s">
        <v>2257</v>
      </c>
      <c r="G121" t="s">
        <v>2721</v>
      </c>
      <c r="H121" t="s">
        <v>2624</v>
      </c>
      <c r="I121" t="s">
        <v>811</v>
      </c>
    </row>
    <row r="122" spans="1:9" ht="11.25" customHeight="1">
      <c r="A122" t="s">
        <v>2248</v>
      </c>
      <c r="B122" t="s">
        <v>16</v>
      </c>
      <c r="C122" t="s">
        <v>2722</v>
      </c>
      <c r="D122" t="s">
        <v>2719</v>
      </c>
      <c r="E122" t="s">
        <v>2723</v>
      </c>
      <c r="F122" t="s">
        <v>2257</v>
      </c>
      <c r="G122" t="s">
        <v>2724</v>
      </c>
      <c r="H122" t="s">
        <v>22</v>
      </c>
      <c r="I122" t="s">
        <v>811</v>
      </c>
    </row>
    <row r="123" spans="1:9" ht="11.25" customHeight="1">
      <c r="A123" t="s">
        <v>2248</v>
      </c>
      <c r="B123" t="s">
        <v>16</v>
      </c>
      <c r="C123" t="s">
        <v>2725</v>
      </c>
      <c r="D123" t="s">
        <v>2726</v>
      </c>
      <c r="E123" t="s">
        <v>2727</v>
      </c>
      <c r="F123" t="s">
        <v>2257</v>
      </c>
      <c r="G123" t="s">
        <v>2728</v>
      </c>
      <c r="H123" t="s">
        <v>22</v>
      </c>
      <c r="I123" t="s">
        <v>811</v>
      </c>
    </row>
    <row r="124" spans="1:9" ht="11.25" customHeight="1">
      <c r="A124" t="s">
        <v>2248</v>
      </c>
      <c r="B124" t="s">
        <v>16</v>
      </c>
      <c r="C124" t="s">
        <v>2729</v>
      </c>
      <c r="D124" t="s">
        <v>2730</v>
      </c>
      <c r="E124" t="s">
        <v>2731</v>
      </c>
      <c r="F124" t="s">
        <v>2335</v>
      </c>
      <c r="G124" t="s">
        <v>2732</v>
      </c>
      <c r="H124" t="s">
        <v>22</v>
      </c>
      <c r="I124" t="s">
        <v>811</v>
      </c>
    </row>
    <row r="125" spans="1:9" ht="11.25" customHeight="1">
      <c r="A125" t="s">
        <v>2248</v>
      </c>
      <c r="B125" t="s">
        <v>16</v>
      </c>
      <c r="C125" t="s">
        <v>2733</v>
      </c>
      <c r="D125" t="s">
        <v>2734</v>
      </c>
      <c r="E125" t="s">
        <v>2735</v>
      </c>
      <c r="F125" t="s">
        <v>2252</v>
      </c>
      <c r="G125" t="s">
        <v>22</v>
      </c>
      <c r="H125" t="s">
        <v>22</v>
      </c>
      <c r="I125" t="s">
        <v>811</v>
      </c>
    </row>
    <row r="126" spans="1:9" ht="11.25" customHeight="1">
      <c r="A126" t="s">
        <v>2248</v>
      </c>
      <c r="B126" t="s">
        <v>16</v>
      </c>
      <c r="C126" t="s">
        <v>2736</v>
      </c>
      <c r="D126" t="s">
        <v>2737</v>
      </c>
      <c r="E126" t="s">
        <v>2738</v>
      </c>
      <c r="F126" t="s">
        <v>51</v>
      </c>
      <c r="G126" t="s">
        <v>22</v>
      </c>
      <c r="H126" t="s">
        <v>22</v>
      </c>
      <c r="I126" t="s">
        <v>811</v>
      </c>
    </row>
    <row r="127" spans="1:9" ht="11.25" customHeight="1">
      <c r="A127" t="s">
        <v>2248</v>
      </c>
      <c r="B127" t="s">
        <v>16</v>
      </c>
      <c r="C127" t="s">
        <v>2739</v>
      </c>
      <c r="D127" t="s">
        <v>2740</v>
      </c>
      <c r="E127" t="s">
        <v>2741</v>
      </c>
      <c r="F127" t="s">
        <v>2257</v>
      </c>
      <c r="G127" t="s">
        <v>2742</v>
      </c>
      <c r="H127" t="s">
        <v>22</v>
      </c>
      <c r="I127" t="s">
        <v>811</v>
      </c>
    </row>
    <row r="128" spans="1:9" ht="11.25" customHeight="1">
      <c r="A128" t="s">
        <v>2248</v>
      </c>
      <c r="B128" t="s">
        <v>16</v>
      </c>
      <c r="C128" t="s">
        <v>2743</v>
      </c>
      <c r="D128" t="s">
        <v>2744</v>
      </c>
      <c r="E128" t="s">
        <v>2745</v>
      </c>
      <c r="F128" t="s">
        <v>2257</v>
      </c>
      <c r="G128" t="s">
        <v>2746</v>
      </c>
      <c r="H128" t="s">
        <v>22</v>
      </c>
      <c r="I128" t="s">
        <v>811</v>
      </c>
    </row>
    <row r="129" spans="1:9" ht="11.25" customHeight="1">
      <c r="A129" t="s">
        <v>2248</v>
      </c>
      <c r="B129" t="s">
        <v>16</v>
      </c>
      <c r="C129" t="s">
        <v>2747</v>
      </c>
      <c r="D129" t="s">
        <v>2748</v>
      </c>
      <c r="E129" t="s">
        <v>2749</v>
      </c>
      <c r="F129" t="s">
        <v>2257</v>
      </c>
      <c r="G129" t="s">
        <v>2750</v>
      </c>
      <c r="H129" t="s">
        <v>22</v>
      </c>
      <c r="I129" t="s">
        <v>811</v>
      </c>
    </row>
    <row r="130" spans="1:9" ht="11.25" customHeight="1">
      <c r="A130" t="s">
        <v>2248</v>
      </c>
      <c r="B130" t="s">
        <v>16</v>
      </c>
      <c r="C130" t="s">
        <v>2751</v>
      </c>
      <c r="D130" t="s">
        <v>2752</v>
      </c>
      <c r="E130" t="s">
        <v>2753</v>
      </c>
      <c r="F130" t="s">
        <v>2257</v>
      </c>
      <c r="G130" t="s">
        <v>22</v>
      </c>
      <c r="H130" t="s">
        <v>22</v>
      </c>
      <c r="I130" t="s">
        <v>811</v>
      </c>
    </row>
    <row r="131" spans="1:9" ht="11.25" customHeight="1">
      <c r="A131" t="s">
        <v>2248</v>
      </c>
      <c r="B131" t="s">
        <v>16</v>
      </c>
      <c r="C131" t="s">
        <v>2754</v>
      </c>
      <c r="D131" t="s">
        <v>2755</v>
      </c>
      <c r="E131" t="s">
        <v>2756</v>
      </c>
      <c r="F131" t="s">
        <v>2357</v>
      </c>
      <c r="G131" t="s">
        <v>2757</v>
      </c>
      <c r="H131" t="s">
        <v>2758</v>
      </c>
      <c r="I131" t="s">
        <v>811</v>
      </c>
    </row>
    <row r="132" spans="1:9" ht="11.25" customHeight="1">
      <c r="A132" t="s">
        <v>2248</v>
      </c>
      <c r="B132" t="s">
        <v>16</v>
      </c>
      <c r="C132" t="s">
        <v>2759</v>
      </c>
      <c r="D132" t="s">
        <v>2760</v>
      </c>
      <c r="E132" t="s">
        <v>2761</v>
      </c>
      <c r="F132" t="s">
        <v>2357</v>
      </c>
      <c r="G132" t="s">
        <v>2762</v>
      </c>
      <c r="H132" t="s">
        <v>2758</v>
      </c>
      <c r="I132" t="s">
        <v>811</v>
      </c>
    </row>
    <row r="133" spans="1:9" ht="11.25" customHeight="1">
      <c r="A133" t="s">
        <v>2248</v>
      </c>
      <c r="B133" t="s">
        <v>16</v>
      </c>
      <c r="C133" t="s">
        <v>2763</v>
      </c>
      <c r="D133" t="s">
        <v>2764</v>
      </c>
      <c r="E133" t="s">
        <v>2765</v>
      </c>
      <c r="F133" t="s">
        <v>2357</v>
      </c>
      <c r="G133" t="s">
        <v>2762</v>
      </c>
      <c r="H133" t="s">
        <v>2758</v>
      </c>
      <c r="I133" t="s">
        <v>811</v>
      </c>
    </row>
    <row r="134" spans="1:9" ht="11.25" customHeight="1">
      <c r="A134" t="s">
        <v>2248</v>
      </c>
      <c r="B134" t="s">
        <v>16</v>
      </c>
      <c r="C134" t="s">
        <v>2766</v>
      </c>
      <c r="D134" t="s">
        <v>2767</v>
      </c>
      <c r="E134" t="s">
        <v>2768</v>
      </c>
      <c r="F134" t="s">
        <v>2357</v>
      </c>
      <c r="G134" t="s">
        <v>2762</v>
      </c>
      <c r="H134" t="s">
        <v>2758</v>
      </c>
      <c r="I134" t="s">
        <v>811</v>
      </c>
    </row>
    <row r="135" spans="1:9" ht="11.25" customHeight="1">
      <c r="A135" t="s">
        <v>2248</v>
      </c>
      <c r="B135" t="s">
        <v>16</v>
      </c>
      <c r="C135" t="s">
        <v>2769</v>
      </c>
      <c r="D135" t="s">
        <v>2770</v>
      </c>
      <c r="E135" t="s">
        <v>2771</v>
      </c>
      <c r="F135" t="s">
        <v>2283</v>
      </c>
      <c r="G135" t="s">
        <v>2772</v>
      </c>
      <c r="H135" t="s">
        <v>22</v>
      </c>
      <c r="I135" t="s">
        <v>811</v>
      </c>
    </row>
    <row r="136" spans="1:9" ht="11.25" customHeight="1">
      <c r="A136" t="s">
        <v>2248</v>
      </c>
      <c r="B136" t="s">
        <v>16</v>
      </c>
      <c r="C136" t="s">
        <v>2773</v>
      </c>
      <c r="D136" t="s">
        <v>2774</v>
      </c>
      <c r="E136" t="s">
        <v>2775</v>
      </c>
      <c r="F136" t="s">
        <v>2257</v>
      </c>
      <c r="G136" t="s">
        <v>2776</v>
      </c>
      <c r="H136" t="s">
        <v>22</v>
      </c>
      <c r="I136" t="s">
        <v>811</v>
      </c>
    </row>
    <row r="137" spans="1:9" ht="11.25" customHeight="1">
      <c r="A137" t="s">
        <v>2248</v>
      </c>
      <c r="B137" t="s">
        <v>16</v>
      </c>
      <c r="C137" t="s">
        <v>2777</v>
      </c>
      <c r="D137" t="s">
        <v>2778</v>
      </c>
      <c r="E137" t="s">
        <v>2779</v>
      </c>
      <c r="F137" t="s">
        <v>2257</v>
      </c>
      <c r="G137" t="s">
        <v>2780</v>
      </c>
      <c r="H137" t="s">
        <v>22</v>
      </c>
      <c r="I137" t="s">
        <v>811</v>
      </c>
    </row>
    <row r="138" spans="1:9" ht="11.25" customHeight="1">
      <c r="A138" t="s">
        <v>2248</v>
      </c>
      <c r="B138" t="s">
        <v>16</v>
      </c>
      <c r="C138" t="s">
        <v>2781</v>
      </c>
      <c r="D138" t="s">
        <v>2782</v>
      </c>
      <c r="E138" t="s">
        <v>2783</v>
      </c>
      <c r="F138" t="s">
        <v>51</v>
      </c>
      <c r="G138" t="s">
        <v>2784</v>
      </c>
      <c r="H138" t="s">
        <v>22</v>
      </c>
      <c r="I138" t="s">
        <v>811</v>
      </c>
    </row>
    <row r="139" spans="1:9" ht="11.25" customHeight="1">
      <c r="A139" t="s">
        <v>2248</v>
      </c>
      <c r="B139" t="s">
        <v>16</v>
      </c>
      <c r="C139" t="s">
        <v>2785</v>
      </c>
      <c r="D139" t="s">
        <v>2786</v>
      </c>
      <c r="E139" t="s">
        <v>2787</v>
      </c>
      <c r="F139" t="s">
        <v>2257</v>
      </c>
      <c r="G139" t="s">
        <v>2788</v>
      </c>
      <c r="H139" t="s">
        <v>22</v>
      </c>
      <c r="I139" t="s">
        <v>811</v>
      </c>
    </row>
    <row r="140" spans="1:9" ht="11.25" customHeight="1">
      <c r="A140" t="s">
        <v>2248</v>
      </c>
      <c r="B140" t="s">
        <v>16</v>
      </c>
      <c r="C140" t="s">
        <v>2789</v>
      </c>
      <c r="D140" t="s">
        <v>2790</v>
      </c>
      <c r="E140" t="s">
        <v>2791</v>
      </c>
      <c r="F140" t="s">
        <v>51</v>
      </c>
      <c r="G140" t="s">
        <v>22</v>
      </c>
      <c r="H140" t="s">
        <v>22</v>
      </c>
      <c r="I140" t="s">
        <v>811</v>
      </c>
    </row>
    <row r="141" spans="1:9" ht="11.25" customHeight="1">
      <c r="A141" t="s">
        <v>2248</v>
      </c>
      <c r="B141" t="s">
        <v>16</v>
      </c>
      <c r="C141" t="s">
        <v>2792</v>
      </c>
      <c r="D141" t="s">
        <v>2793</v>
      </c>
      <c r="E141" t="s">
        <v>2794</v>
      </c>
      <c r="F141" t="s">
        <v>2257</v>
      </c>
      <c r="G141" t="s">
        <v>2795</v>
      </c>
      <c r="H141" t="s">
        <v>22</v>
      </c>
      <c r="I141" t="s">
        <v>811</v>
      </c>
    </row>
    <row r="142" spans="1:9" ht="11.25" customHeight="1">
      <c r="A142" t="s">
        <v>2248</v>
      </c>
      <c r="B142" t="s">
        <v>16</v>
      </c>
      <c r="C142" t="s">
        <v>2796</v>
      </c>
      <c r="D142" t="s">
        <v>2797</v>
      </c>
      <c r="E142" t="s">
        <v>2798</v>
      </c>
      <c r="F142" t="s">
        <v>2257</v>
      </c>
      <c r="G142" t="s">
        <v>2799</v>
      </c>
      <c r="H142" t="s">
        <v>22</v>
      </c>
      <c r="I142" t="s">
        <v>811</v>
      </c>
    </row>
    <row r="143" spans="1:9" ht="11.25" customHeight="1">
      <c r="A143" t="s">
        <v>2248</v>
      </c>
      <c r="B143" t="s">
        <v>16</v>
      </c>
      <c r="C143" t="s">
        <v>2800</v>
      </c>
      <c r="D143" t="s">
        <v>2801</v>
      </c>
      <c r="E143" t="s">
        <v>2802</v>
      </c>
      <c r="F143" t="s">
        <v>2257</v>
      </c>
      <c r="G143" t="s">
        <v>2803</v>
      </c>
      <c r="H143" t="s">
        <v>22</v>
      </c>
      <c r="I143" t="s">
        <v>811</v>
      </c>
    </row>
    <row r="144" spans="1:9" ht="11.25" customHeight="1">
      <c r="A144" t="s">
        <v>2248</v>
      </c>
      <c r="B144" t="s">
        <v>16</v>
      </c>
      <c r="C144" t="s">
        <v>2804</v>
      </c>
      <c r="D144" t="s">
        <v>2805</v>
      </c>
      <c r="E144" t="s">
        <v>2806</v>
      </c>
      <c r="F144" t="s">
        <v>51</v>
      </c>
      <c r="G144" t="s">
        <v>2807</v>
      </c>
      <c r="H144" t="s">
        <v>22</v>
      </c>
      <c r="I144" t="s">
        <v>811</v>
      </c>
    </row>
    <row r="145" spans="1:9" ht="11.25" customHeight="1">
      <c r="A145" t="s">
        <v>2248</v>
      </c>
      <c r="B145" t="s">
        <v>16</v>
      </c>
      <c r="C145" t="s">
        <v>2808</v>
      </c>
      <c r="D145" t="s">
        <v>2809</v>
      </c>
      <c r="E145" t="s">
        <v>2810</v>
      </c>
      <c r="F145" t="s">
        <v>2257</v>
      </c>
      <c r="G145" t="s">
        <v>2811</v>
      </c>
      <c r="H145" t="s">
        <v>22</v>
      </c>
      <c r="I145" t="s">
        <v>811</v>
      </c>
    </row>
    <row r="146" spans="1:9" ht="11.25" customHeight="1">
      <c r="A146" t="s">
        <v>2248</v>
      </c>
      <c r="B146" t="s">
        <v>16</v>
      </c>
      <c r="C146" t="s">
        <v>2812</v>
      </c>
      <c r="D146" t="s">
        <v>2813</v>
      </c>
      <c r="E146" t="s">
        <v>2814</v>
      </c>
      <c r="F146" t="s">
        <v>2283</v>
      </c>
      <c r="G146" t="s">
        <v>2815</v>
      </c>
      <c r="H146" t="s">
        <v>22</v>
      </c>
      <c r="I146" t="s">
        <v>811</v>
      </c>
    </row>
    <row r="147" spans="1:9" ht="11.25" customHeight="1">
      <c r="A147" t="s">
        <v>2248</v>
      </c>
      <c r="B147" t="s">
        <v>16</v>
      </c>
      <c r="C147" t="s">
        <v>2816</v>
      </c>
      <c r="D147" t="s">
        <v>2817</v>
      </c>
      <c r="E147" t="s">
        <v>2818</v>
      </c>
      <c r="F147" t="s">
        <v>2257</v>
      </c>
      <c r="G147" t="s">
        <v>2596</v>
      </c>
      <c r="H147" t="s">
        <v>22</v>
      </c>
      <c r="I147" t="s">
        <v>811</v>
      </c>
    </row>
    <row r="148" spans="1:9" ht="11.25" customHeight="1">
      <c r="A148" t="s">
        <v>2248</v>
      </c>
      <c r="B148" t="s">
        <v>16</v>
      </c>
      <c r="C148" t="s">
        <v>2819</v>
      </c>
      <c r="D148" t="s">
        <v>2820</v>
      </c>
      <c r="E148" t="s">
        <v>2821</v>
      </c>
      <c r="F148" t="s">
        <v>2257</v>
      </c>
      <c r="G148" t="s">
        <v>2822</v>
      </c>
      <c r="H148" t="s">
        <v>22</v>
      </c>
      <c r="I148" t="s">
        <v>811</v>
      </c>
    </row>
    <row r="149" spans="1:9" ht="11.25" customHeight="1">
      <c r="A149" t="s">
        <v>2248</v>
      </c>
      <c r="B149" t="s">
        <v>16</v>
      </c>
      <c r="C149" t="s">
        <v>2823</v>
      </c>
      <c r="D149" t="s">
        <v>2824</v>
      </c>
      <c r="E149" t="s">
        <v>2825</v>
      </c>
      <c r="F149" t="s">
        <v>2252</v>
      </c>
      <c r="G149" t="s">
        <v>2826</v>
      </c>
      <c r="H149" t="s">
        <v>22</v>
      </c>
      <c r="I149" t="s">
        <v>811</v>
      </c>
    </row>
    <row r="150" spans="1:9" ht="11.25" customHeight="1">
      <c r="A150" t="s">
        <v>2248</v>
      </c>
      <c r="B150" t="s">
        <v>16</v>
      </c>
      <c r="C150" t="s">
        <v>2827</v>
      </c>
      <c r="D150" t="s">
        <v>2828</v>
      </c>
      <c r="E150" t="s">
        <v>2829</v>
      </c>
      <c r="F150" t="s">
        <v>51</v>
      </c>
      <c r="G150" t="s">
        <v>2830</v>
      </c>
      <c r="H150" t="s">
        <v>22</v>
      </c>
      <c r="I150" t="s">
        <v>811</v>
      </c>
    </row>
    <row r="151" spans="1:9" ht="11.25" customHeight="1">
      <c r="A151" t="s">
        <v>2248</v>
      </c>
      <c r="B151" t="s">
        <v>16</v>
      </c>
      <c r="C151" t="s">
        <v>2831</v>
      </c>
      <c r="D151" t="s">
        <v>2832</v>
      </c>
      <c r="E151" t="s">
        <v>2833</v>
      </c>
      <c r="F151" t="s">
        <v>2503</v>
      </c>
      <c r="G151" t="s">
        <v>22</v>
      </c>
      <c r="H151" t="s">
        <v>22</v>
      </c>
      <c r="I151" t="s">
        <v>811</v>
      </c>
    </row>
    <row r="152" spans="1:9" ht="11.25" customHeight="1">
      <c r="A152" t="s">
        <v>2248</v>
      </c>
      <c r="B152" t="s">
        <v>16</v>
      </c>
      <c r="C152" t="s">
        <v>2834</v>
      </c>
      <c r="D152" t="s">
        <v>2835</v>
      </c>
      <c r="E152" t="s">
        <v>2836</v>
      </c>
      <c r="F152" t="s">
        <v>2837</v>
      </c>
      <c r="G152" t="s">
        <v>2838</v>
      </c>
      <c r="H152" t="s">
        <v>22</v>
      </c>
      <c r="I152" t="s">
        <v>811</v>
      </c>
    </row>
    <row r="153" spans="1:9" ht="11.25" customHeight="1">
      <c r="A153" t="s">
        <v>2248</v>
      </c>
      <c r="B153" t="s">
        <v>16</v>
      </c>
      <c r="C153" t="s">
        <v>2839</v>
      </c>
      <c r="D153" t="s">
        <v>2840</v>
      </c>
      <c r="E153" t="s">
        <v>2841</v>
      </c>
      <c r="F153" t="s">
        <v>51</v>
      </c>
      <c r="G153" t="s">
        <v>2842</v>
      </c>
      <c r="H153" t="s">
        <v>22</v>
      </c>
      <c r="I153" t="s">
        <v>811</v>
      </c>
    </row>
    <row r="154" spans="1:9" ht="11.25" customHeight="1">
      <c r="A154" t="s">
        <v>2248</v>
      </c>
      <c r="B154" t="s">
        <v>16</v>
      </c>
      <c r="C154" t="s">
        <v>2843</v>
      </c>
      <c r="D154" t="s">
        <v>2844</v>
      </c>
      <c r="E154" t="s">
        <v>2845</v>
      </c>
      <c r="F154" t="s">
        <v>2422</v>
      </c>
      <c r="G154" t="s">
        <v>2846</v>
      </c>
      <c r="H154" t="s">
        <v>22</v>
      </c>
      <c r="I154" t="s">
        <v>811</v>
      </c>
    </row>
    <row r="155" spans="1:9" ht="11.25" customHeight="1">
      <c r="A155" t="s">
        <v>2248</v>
      </c>
      <c r="B155" t="s">
        <v>16</v>
      </c>
      <c r="C155" t="s">
        <v>2847</v>
      </c>
      <c r="D155" t="s">
        <v>2848</v>
      </c>
      <c r="E155" t="s">
        <v>2849</v>
      </c>
      <c r="F155" t="s">
        <v>2850</v>
      </c>
      <c r="G155" t="s">
        <v>2851</v>
      </c>
      <c r="H155" t="s">
        <v>22</v>
      </c>
      <c r="I155" t="s">
        <v>811</v>
      </c>
    </row>
    <row r="156" spans="1:9" ht="11.25" customHeight="1">
      <c r="A156" t="s">
        <v>2248</v>
      </c>
      <c r="B156" t="s">
        <v>16</v>
      </c>
      <c r="C156" t="s">
        <v>2852</v>
      </c>
      <c r="D156" t="s">
        <v>2853</v>
      </c>
      <c r="E156" t="s">
        <v>2854</v>
      </c>
      <c r="F156" t="s">
        <v>2349</v>
      </c>
      <c r="G156" t="s">
        <v>2855</v>
      </c>
      <c r="H156" t="s">
        <v>22</v>
      </c>
      <c r="I156" t="s">
        <v>811</v>
      </c>
    </row>
    <row r="157" spans="1:9" ht="11.25" customHeight="1">
      <c r="A157" t="s">
        <v>2248</v>
      </c>
      <c r="B157" t="s">
        <v>16</v>
      </c>
      <c r="C157" t="s">
        <v>2856</v>
      </c>
      <c r="D157" t="s">
        <v>2857</v>
      </c>
      <c r="E157" t="s">
        <v>2858</v>
      </c>
      <c r="F157" t="s">
        <v>51</v>
      </c>
      <c r="G157" t="s">
        <v>2859</v>
      </c>
      <c r="H157" t="s">
        <v>22</v>
      </c>
      <c r="I157" t="s">
        <v>811</v>
      </c>
    </row>
    <row r="158" spans="1:9" ht="11.25" customHeight="1">
      <c r="A158" t="s">
        <v>2248</v>
      </c>
      <c r="B158" t="s">
        <v>16</v>
      </c>
      <c r="C158" t="s">
        <v>2860</v>
      </c>
      <c r="D158" t="s">
        <v>2861</v>
      </c>
      <c r="E158" t="s">
        <v>2862</v>
      </c>
      <c r="F158" t="s">
        <v>2837</v>
      </c>
      <c r="G158" t="s">
        <v>2863</v>
      </c>
      <c r="H158" t="s">
        <v>22</v>
      </c>
      <c r="I158" t="s">
        <v>811</v>
      </c>
    </row>
    <row r="159" spans="1:9" ht="11.25" customHeight="1">
      <c r="A159" t="s">
        <v>2248</v>
      </c>
      <c r="B159" t="s">
        <v>16</v>
      </c>
      <c r="C159" t="s">
        <v>2864</v>
      </c>
      <c r="D159" t="s">
        <v>2865</v>
      </c>
      <c r="E159" t="s">
        <v>2866</v>
      </c>
      <c r="F159" t="s">
        <v>51</v>
      </c>
      <c r="G159" t="s">
        <v>2867</v>
      </c>
      <c r="H159" t="s">
        <v>22</v>
      </c>
      <c r="I159" t="s">
        <v>811</v>
      </c>
    </row>
    <row r="160" spans="1:9" ht="11.25" customHeight="1">
      <c r="A160" t="s">
        <v>2248</v>
      </c>
      <c r="B160" t="s">
        <v>16</v>
      </c>
      <c r="C160" t="s">
        <v>2868</v>
      </c>
      <c r="D160" t="s">
        <v>2869</v>
      </c>
      <c r="E160" t="s">
        <v>2870</v>
      </c>
      <c r="F160" t="s">
        <v>51</v>
      </c>
      <c r="G160" t="s">
        <v>2871</v>
      </c>
      <c r="H160" t="s">
        <v>22</v>
      </c>
      <c r="I160" t="s">
        <v>811</v>
      </c>
    </row>
    <row r="161" spans="1:9" ht="11.25" customHeight="1">
      <c r="A161" t="s">
        <v>2248</v>
      </c>
      <c r="B161" t="s">
        <v>16</v>
      </c>
      <c r="C161" t="s">
        <v>2872</v>
      </c>
      <c r="D161" t="s">
        <v>2873</v>
      </c>
      <c r="E161" t="s">
        <v>2874</v>
      </c>
      <c r="F161" t="s">
        <v>2257</v>
      </c>
      <c r="G161" t="s">
        <v>2875</v>
      </c>
      <c r="H161" t="s">
        <v>22</v>
      </c>
      <c r="I161" t="s">
        <v>811</v>
      </c>
    </row>
    <row r="162" spans="1:9" ht="11.25" customHeight="1">
      <c r="A162" t="s">
        <v>2248</v>
      </c>
      <c r="B162" t="s">
        <v>16</v>
      </c>
      <c r="C162" t="s">
        <v>2876</v>
      </c>
      <c r="D162" t="s">
        <v>2877</v>
      </c>
      <c r="E162" t="s">
        <v>2878</v>
      </c>
      <c r="F162" t="s">
        <v>2257</v>
      </c>
      <c r="G162" t="s">
        <v>2879</v>
      </c>
      <c r="H162" t="s">
        <v>22</v>
      </c>
      <c r="I162" t="s">
        <v>811</v>
      </c>
    </row>
    <row r="163" spans="1:9" ht="11.25" customHeight="1">
      <c r="A163" t="s">
        <v>2248</v>
      </c>
      <c r="B163" t="s">
        <v>16</v>
      </c>
      <c r="C163" t="s">
        <v>2880</v>
      </c>
      <c r="D163" t="s">
        <v>2881</v>
      </c>
      <c r="E163" t="s">
        <v>2882</v>
      </c>
      <c r="F163" t="s">
        <v>2257</v>
      </c>
      <c r="G163" t="s">
        <v>2883</v>
      </c>
      <c r="H163" t="s">
        <v>22</v>
      </c>
      <c r="I163" t="s">
        <v>811</v>
      </c>
    </row>
    <row r="164" spans="1:9" ht="11.25" customHeight="1">
      <c r="A164" t="s">
        <v>2248</v>
      </c>
      <c r="B164" t="s">
        <v>16</v>
      </c>
      <c r="C164" t="s">
        <v>2884</v>
      </c>
      <c r="D164" t="s">
        <v>2885</v>
      </c>
      <c r="E164" t="s">
        <v>2886</v>
      </c>
      <c r="F164" t="s">
        <v>2257</v>
      </c>
      <c r="G164" t="s">
        <v>2887</v>
      </c>
      <c r="H164" t="s">
        <v>22</v>
      </c>
      <c r="I164" t="s">
        <v>811</v>
      </c>
    </row>
    <row r="165" spans="1:9" ht="11.25" customHeight="1">
      <c r="A165" t="s">
        <v>2248</v>
      </c>
      <c r="B165" t="s">
        <v>16</v>
      </c>
      <c r="C165" t="s">
        <v>2888</v>
      </c>
      <c r="D165" t="s">
        <v>2889</v>
      </c>
      <c r="E165" t="s">
        <v>2890</v>
      </c>
      <c r="F165" t="s">
        <v>2257</v>
      </c>
      <c r="G165" t="s">
        <v>2891</v>
      </c>
      <c r="H165" t="s">
        <v>22</v>
      </c>
      <c r="I165" t="s">
        <v>811</v>
      </c>
    </row>
    <row r="166" spans="1:9" ht="11.25" customHeight="1">
      <c r="A166" t="s">
        <v>2248</v>
      </c>
      <c r="B166" t="s">
        <v>16</v>
      </c>
      <c r="C166" t="s">
        <v>2892</v>
      </c>
      <c r="D166" t="s">
        <v>2893</v>
      </c>
      <c r="E166" t="s">
        <v>2894</v>
      </c>
      <c r="F166" t="s">
        <v>2580</v>
      </c>
      <c r="G166" t="s">
        <v>2895</v>
      </c>
      <c r="H166" t="s">
        <v>22</v>
      </c>
      <c r="I166" t="s">
        <v>811</v>
      </c>
    </row>
    <row r="167" spans="1:9" ht="11.25" customHeight="1">
      <c r="A167" t="s">
        <v>2248</v>
      </c>
      <c r="B167" t="s">
        <v>16</v>
      </c>
      <c r="C167" t="s">
        <v>2896</v>
      </c>
      <c r="D167" t="s">
        <v>2897</v>
      </c>
      <c r="E167" t="s">
        <v>2898</v>
      </c>
      <c r="F167" t="s">
        <v>2257</v>
      </c>
      <c r="G167" t="s">
        <v>2899</v>
      </c>
      <c r="H167" t="s">
        <v>22</v>
      </c>
      <c r="I167" t="s">
        <v>811</v>
      </c>
    </row>
    <row r="168" spans="1:9" ht="11.25" customHeight="1">
      <c r="A168" t="s">
        <v>2248</v>
      </c>
      <c r="B168" t="s">
        <v>16</v>
      </c>
      <c r="C168" t="s">
        <v>2900</v>
      </c>
      <c r="D168" t="s">
        <v>2901</v>
      </c>
      <c r="E168" t="s">
        <v>2902</v>
      </c>
      <c r="F168" t="s">
        <v>2257</v>
      </c>
      <c r="G168" t="s">
        <v>2903</v>
      </c>
      <c r="H168" t="s">
        <v>22</v>
      </c>
      <c r="I168" t="s">
        <v>811</v>
      </c>
    </row>
    <row r="169" spans="1:9" ht="11.25" customHeight="1">
      <c r="A169" t="s">
        <v>2248</v>
      </c>
      <c r="B169" t="s">
        <v>16</v>
      </c>
      <c r="C169" t="s">
        <v>2904</v>
      </c>
      <c r="D169" t="s">
        <v>2905</v>
      </c>
      <c r="E169" t="s">
        <v>2906</v>
      </c>
      <c r="F169" t="s">
        <v>2283</v>
      </c>
      <c r="G169" t="s">
        <v>2907</v>
      </c>
      <c r="H169" t="s">
        <v>22</v>
      </c>
      <c r="I169" t="s">
        <v>811</v>
      </c>
    </row>
    <row r="170" spans="1:9" ht="11.25" customHeight="1">
      <c r="A170" t="s">
        <v>2248</v>
      </c>
      <c r="B170" t="s">
        <v>16</v>
      </c>
      <c r="C170" t="s">
        <v>2908</v>
      </c>
      <c r="D170" t="s">
        <v>2909</v>
      </c>
      <c r="E170" t="s">
        <v>2910</v>
      </c>
      <c r="F170" t="s">
        <v>2257</v>
      </c>
      <c r="G170" t="s">
        <v>2911</v>
      </c>
      <c r="H170" t="s">
        <v>22</v>
      </c>
      <c r="I170" t="s">
        <v>811</v>
      </c>
    </row>
    <row r="171" spans="1:9" ht="11.25" customHeight="1">
      <c r="A171" t="s">
        <v>2248</v>
      </c>
      <c r="B171" t="s">
        <v>16</v>
      </c>
      <c r="C171" t="s">
        <v>2912</v>
      </c>
      <c r="D171" t="s">
        <v>2913</v>
      </c>
      <c r="E171" t="s">
        <v>2914</v>
      </c>
      <c r="F171" t="s">
        <v>2915</v>
      </c>
      <c r="G171" t="s">
        <v>2916</v>
      </c>
      <c r="H171" t="s">
        <v>22</v>
      </c>
      <c r="I171" t="s">
        <v>811</v>
      </c>
    </row>
    <row r="172" spans="1:9" ht="11.25" customHeight="1">
      <c r="A172" t="s">
        <v>2248</v>
      </c>
      <c r="B172" t="s">
        <v>16</v>
      </c>
      <c r="C172" t="s">
        <v>2917</v>
      </c>
      <c r="D172" t="s">
        <v>2918</v>
      </c>
      <c r="E172" t="s">
        <v>2919</v>
      </c>
      <c r="F172" t="s">
        <v>2920</v>
      </c>
      <c r="G172" t="s">
        <v>22</v>
      </c>
      <c r="H172" t="s">
        <v>22</v>
      </c>
      <c r="I172" t="s">
        <v>811</v>
      </c>
    </row>
    <row r="173" spans="1:9" ht="11.25" customHeight="1">
      <c r="A173" t="s">
        <v>2248</v>
      </c>
      <c r="B173" t="s">
        <v>16</v>
      </c>
      <c r="C173" t="s">
        <v>2921</v>
      </c>
      <c r="D173" t="s">
        <v>2922</v>
      </c>
      <c r="E173" t="s">
        <v>2923</v>
      </c>
      <c r="F173" t="s">
        <v>2257</v>
      </c>
      <c r="G173" t="s">
        <v>2924</v>
      </c>
      <c r="H173" t="s">
        <v>22</v>
      </c>
      <c r="I173" t="s">
        <v>811</v>
      </c>
    </row>
    <row r="174" spans="1:9" ht="11.25" customHeight="1">
      <c r="A174" t="s">
        <v>2248</v>
      </c>
      <c r="B174" t="s">
        <v>16</v>
      </c>
      <c r="C174" t="s">
        <v>2925</v>
      </c>
      <c r="D174" t="s">
        <v>2926</v>
      </c>
      <c r="E174" t="s">
        <v>2927</v>
      </c>
      <c r="F174" t="s">
        <v>2928</v>
      </c>
      <c r="G174" t="s">
        <v>2929</v>
      </c>
      <c r="H174" t="s">
        <v>22</v>
      </c>
      <c r="I174" t="s">
        <v>811</v>
      </c>
    </row>
    <row r="175" spans="1:9" ht="11.25" customHeight="1">
      <c r="A175" t="s">
        <v>2248</v>
      </c>
      <c r="B175" t="s">
        <v>16</v>
      </c>
      <c r="C175" t="s">
        <v>2262</v>
      </c>
      <c r="D175" t="s">
        <v>2263</v>
      </c>
      <c r="E175" t="s">
        <v>2264</v>
      </c>
      <c r="F175" t="s">
        <v>2265</v>
      </c>
      <c r="G175" t="s">
        <v>22</v>
      </c>
      <c r="H175" t="s">
        <v>22</v>
      </c>
      <c r="I175" t="s">
        <v>897</v>
      </c>
    </row>
    <row r="176" spans="1:9" ht="11.25" customHeight="1">
      <c r="A176" t="s">
        <v>2248</v>
      </c>
      <c r="B176" t="s">
        <v>16</v>
      </c>
      <c r="C176" t="s">
        <v>2268</v>
      </c>
      <c r="D176" t="s">
        <v>2269</v>
      </c>
      <c r="E176" t="s">
        <v>2270</v>
      </c>
      <c r="F176" t="s">
        <v>2257</v>
      </c>
      <c r="G176" t="s">
        <v>2271</v>
      </c>
      <c r="H176" t="s">
        <v>22</v>
      </c>
      <c r="I176" t="s">
        <v>897</v>
      </c>
    </row>
    <row r="177" spans="1:9" ht="11.25" customHeight="1">
      <c r="A177" t="s">
        <v>2248</v>
      </c>
      <c r="B177" t="s">
        <v>16</v>
      </c>
      <c r="C177" t="s">
        <v>2280</v>
      </c>
      <c r="D177" t="s">
        <v>2281</v>
      </c>
      <c r="E177" t="s">
        <v>2282</v>
      </c>
      <c r="F177" t="s">
        <v>2283</v>
      </c>
      <c r="G177" t="s">
        <v>2284</v>
      </c>
      <c r="H177" t="s">
        <v>22</v>
      </c>
      <c r="I177" t="s">
        <v>897</v>
      </c>
    </row>
    <row r="178" spans="1:9" ht="11.25" customHeight="1">
      <c r="A178" t="s">
        <v>2248</v>
      </c>
      <c r="B178" t="s">
        <v>16</v>
      </c>
      <c r="C178" t="s">
        <v>2294</v>
      </c>
      <c r="D178" t="s">
        <v>2295</v>
      </c>
      <c r="E178" t="s">
        <v>2296</v>
      </c>
      <c r="F178" t="s">
        <v>2257</v>
      </c>
      <c r="G178" t="s">
        <v>2297</v>
      </c>
      <c r="H178" t="s">
        <v>22</v>
      </c>
      <c r="I178" t="s">
        <v>897</v>
      </c>
    </row>
    <row r="179" spans="1:9" ht="11.25" customHeight="1">
      <c r="A179" t="s">
        <v>2248</v>
      </c>
      <c r="B179" t="s">
        <v>16</v>
      </c>
      <c r="C179" t="s">
        <v>2302</v>
      </c>
      <c r="D179" t="s">
        <v>2303</v>
      </c>
      <c r="E179" t="s">
        <v>2304</v>
      </c>
      <c r="F179" t="s">
        <v>2257</v>
      </c>
      <c r="G179" t="s">
        <v>2305</v>
      </c>
      <c r="H179" t="s">
        <v>22</v>
      </c>
      <c r="I179" t="s">
        <v>897</v>
      </c>
    </row>
    <row r="180" spans="1:9" ht="11.25" customHeight="1">
      <c r="A180" t="s">
        <v>2248</v>
      </c>
      <c r="B180" t="s">
        <v>16</v>
      </c>
      <c r="C180" t="s">
        <v>2309</v>
      </c>
      <c r="D180" t="s">
        <v>2310</v>
      </c>
      <c r="E180" t="s">
        <v>2311</v>
      </c>
      <c r="F180" t="s">
        <v>2312</v>
      </c>
      <c r="G180" t="s">
        <v>22</v>
      </c>
      <c r="H180" t="s">
        <v>22</v>
      </c>
      <c r="I180" t="s">
        <v>897</v>
      </c>
    </row>
    <row r="181" spans="1:9" ht="11.25" customHeight="1">
      <c r="A181" t="s">
        <v>2248</v>
      </c>
      <c r="B181" t="s">
        <v>16</v>
      </c>
      <c r="C181" t="s">
        <v>22</v>
      </c>
      <c r="D181" t="s">
        <v>2321</v>
      </c>
      <c r="E181" t="s">
        <v>2322</v>
      </c>
      <c r="F181" t="s">
        <v>2257</v>
      </c>
      <c r="G181" t="s">
        <v>22</v>
      </c>
      <c r="H181" t="s">
        <v>22</v>
      </c>
      <c r="I181" t="s">
        <v>897</v>
      </c>
    </row>
    <row r="182" spans="1:9" ht="11.25" customHeight="1">
      <c r="A182" t="s">
        <v>2248</v>
      </c>
      <c r="B182" t="s">
        <v>16</v>
      </c>
      <c r="C182" t="s">
        <v>2332</v>
      </c>
      <c r="D182" t="s">
        <v>2333</v>
      </c>
      <c r="E182" t="s">
        <v>2334</v>
      </c>
      <c r="F182" t="s">
        <v>2335</v>
      </c>
      <c r="G182" t="s">
        <v>2336</v>
      </c>
      <c r="H182" t="s">
        <v>22</v>
      </c>
      <c r="I182" t="s">
        <v>897</v>
      </c>
    </row>
    <row r="183" spans="1:9" ht="11.25" customHeight="1">
      <c r="A183" t="s">
        <v>2248</v>
      </c>
      <c r="B183" t="s">
        <v>16</v>
      </c>
      <c r="C183" t="s">
        <v>2337</v>
      </c>
      <c r="D183" t="s">
        <v>2338</v>
      </c>
      <c r="E183" t="s">
        <v>2339</v>
      </c>
      <c r="F183" t="s">
        <v>2340</v>
      </c>
      <c r="G183" t="s">
        <v>22</v>
      </c>
      <c r="H183" t="s">
        <v>22</v>
      </c>
      <c r="I183" t="s">
        <v>897</v>
      </c>
    </row>
    <row r="184" spans="1:9" ht="11.25" customHeight="1">
      <c r="A184" t="s">
        <v>2248</v>
      </c>
      <c r="B184" t="s">
        <v>16</v>
      </c>
      <c r="C184" t="s">
        <v>2351</v>
      </c>
      <c r="D184" t="s">
        <v>2352</v>
      </c>
      <c r="E184" t="s">
        <v>2353</v>
      </c>
      <c r="F184" t="s">
        <v>2252</v>
      </c>
      <c r="G184" t="s">
        <v>2253</v>
      </c>
      <c r="H184" t="s">
        <v>22</v>
      </c>
      <c r="I184" t="s">
        <v>897</v>
      </c>
    </row>
    <row r="185" spans="1:9" ht="11.25" customHeight="1">
      <c r="A185" t="s">
        <v>2248</v>
      </c>
      <c r="B185" t="s">
        <v>16</v>
      </c>
      <c r="C185" t="s">
        <v>2354</v>
      </c>
      <c r="D185" t="s">
        <v>2355</v>
      </c>
      <c r="E185" t="s">
        <v>2356</v>
      </c>
      <c r="F185" t="s">
        <v>2357</v>
      </c>
      <c r="G185" t="s">
        <v>22</v>
      </c>
      <c r="H185" t="s">
        <v>22</v>
      </c>
      <c r="I185" t="s">
        <v>897</v>
      </c>
    </row>
    <row r="186" spans="1:9" ht="11.25" customHeight="1">
      <c r="A186" t="s">
        <v>2248</v>
      </c>
      <c r="B186" t="s">
        <v>16</v>
      </c>
      <c r="C186" t="s">
        <v>2396</v>
      </c>
      <c r="D186" t="s">
        <v>2397</v>
      </c>
      <c r="E186" t="s">
        <v>2398</v>
      </c>
      <c r="F186" t="s">
        <v>51</v>
      </c>
      <c r="G186" t="s">
        <v>2399</v>
      </c>
      <c r="H186" t="s">
        <v>22</v>
      </c>
      <c r="I186" t="s">
        <v>897</v>
      </c>
    </row>
    <row r="187" spans="1:9" ht="11.25" customHeight="1">
      <c r="A187" t="s">
        <v>2248</v>
      </c>
      <c r="B187" t="s">
        <v>16</v>
      </c>
      <c r="C187" t="s">
        <v>2411</v>
      </c>
      <c r="D187" t="s">
        <v>2412</v>
      </c>
      <c r="E187" t="s">
        <v>2413</v>
      </c>
      <c r="F187" t="s">
        <v>2252</v>
      </c>
      <c r="G187" t="s">
        <v>2414</v>
      </c>
      <c r="H187" t="s">
        <v>22</v>
      </c>
      <c r="I187" t="s">
        <v>897</v>
      </c>
    </row>
    <row r="188" spans="1:9" ht="11.25" customHeight="1">
      <c r="A188" t="s">
        <v>2248</v>
      </c>
      <c r="B188" t="s">
        <v>16</v>
      </c>
      <c r="C188" t="s">
        <v>2439</v>
      </c>
      <c r="D188" t="s">
        <v>2440</v>
      </c>
      <c r="E188" t="s">
        <v>2441</v>
      </c>
      <c r="F188" t="s">
        <v>51</v>
      </c>
      <c r="G188" t="s">
        <v>2442</v>
      </c>
      <c r="H188" t="s">
        <v>22</v>
      </c>
      <c r="I188" t="s">
        <v>897</v>
      </c>
    </row>
    <row r="189" spans="1:9" ht="11.25" customHeight="1">
      <c r="A189" t="s">
        <v>2248</v>
      </c>
      <c r="B189" t="s">
        <v>16</v>
      </c>
      <c r="C189" t="s">
        <v>2455</v>
      </c>
      <c r="D189" t="s">
        <v>2456</v>
      </c>
      <c r="E189" t="s">
        <v>2457</v>
      </c>
      <c r="F189" t="s">
        <v>51</v>
      </c>
      <c r="G189" t="s">
        <v>2458</v>
      </c>
      <c r="H189" t="s">
        <v>22</v>
      </c>
      <c r="I189" t="s">
        <v>897</v>
      </c>
    </row>
    <row r="190" spans="1:9" ht="11.25" customHeight="1">
      <c r="A190" t="s">
        <v>2248</v>
      </c>
      <c r="B190" t="s">
        <v>16</v>
      </c>
      <c r="C190" t="s">
        <v>2467</v>
      </c>
      <c r="D190" t="s">
        <v>2468</v>
      </c>
      <c r="E190" t="s">
        <v>2469</v>
      </c>
      <c r="F190" t="s">
        <v>2446</v>
      </c>
      <c r="G190" t="s">
        <v>22</v>
      </c>
      <c r="H190" t="s">
        <v>22</v>
      </c>
      <c r="I190" t="s">
        <v>897</v>
      </c>
    </row>
    <row r="191" spans="1:9" ht="11.25" customHeight="1">
      <c r="A191" t="s">
        <v>2248</v>
      </c>
      <c r="B191" t="s">
        <v>16</v>
      </c>
      <c r="C191" t="s">
        <v>2475</v>
      </c>
      <c r="D191" t="s">
        <v>2476</v>
      </c>
      <c r="E191" t="s">
        <v>2477</v>
      </c>
      <c r="F191" t="s">
        <v>51</v>
      </c>
      <c r="G191" t="s">
        <v>2478</v>
      </c>
      <c r="H191" t="s">
        <v>22</v>
      </c>
      <c r="I191" t="s">
        <v>897</v>
      </c>
    </row>
    <row r="192" spans="1:9" ht="11.25" customHeight="1">
      <c r="A192" t="s">
        <v>2248</v>
      </c>
      <c r="B192" t="s">
        <v>16</v>
      </c>
      <c r="C192" t="s">
        <v>2489</v>
      </c>
      <c r="D192" t="s">
        <v>2490</v>
      </c>
      <c r="E192" t="s">
        <v>2491</v>
      </c>
      <c r="F192" t="s">
        <v>51</v>
      </c>
      <c r="G192" t="s">
        <v>2492</v>
      </c>
      <c r="H192" t="s">
        <v>22</v>
      </c>
      <c r="I192" t="s">
        <v>897</v>
      </c>
    </row>
    <row r="193" spans="1:9" ht="11.25" customHeight="1">
      <c r="A193" t="s">
        <v>2248</v>
      </c>
      <c r="B193" t="s">
        <v>16</v>
      </c>
      <c r="C193" t="s">
        <v>2500</v>
      </c>
      <c r="D193" t="s">
        <v>2501</v>
      </c>
      <c r="E193" t="s">
        <v>2502</v>
      </c>
      <c r="F193" t="s">
        <v>2503</v>
      </c>
      <c r="G193" t="s">
        <v>2504</v>
      </c>
      <c r="H193" t="s">
        <v>22</v>
      </c>
      <c r="I193" t="s">
        <v>897</v>
      </c>
    </row>
    <row r="194" spans="1:9" ht="11.25" customHeight="1">
      <c r="A194" t="s">
        <v>2248</v>
      </c>
      <c r="B194" t="s">
        <v>16</v>
      </c>
      <c r="C194" t="s">
        <v>2508</v>
      </c>
      <c r="D194" t="s">
        <v>2509</v>
      </c>
      <c r="E194" t="s">
        <v>2510</v>
      </c>
      <c r="F194" t="s">
        <v>2349</v>
      </c>
      <c r="G194" t="s">
        <v>2511</v>
      </c>
      <c r="H194" t="s">
        <v>22</v>
      </c>
      <c r="I194" t="s">
        <v>897</v>
      </c>
    </row>
    <row r="195" spans="1:9" ht="11.25" customHeight="1">
      <c r="A195" t="s">
        <v>2248</v>
      </c>
      <c r="B195" t="s">
        <v>16</v>
      </c>
      <c r="C195" t="s">
        <v>2512</v>
      </c>
      <c r="D195" t="s">
        <v>2513</v>
      </c>
      <c r="E195" t="s">
        <v>2514</v>
      </c>
      <c r="F195" t="s">
        <v>2349</v>
      </c>
      <c r="G195" t="s">
        <v>2515</v>
      </c>
      <c r="H195" t="s">
        <v>22</v>
      </c>
      <c r="I195" t="s">
        <v>897</v>
      </c>
    </row>
    <row r="196" spans="1:9" ht="11.25" customHeight="1">
      <c r="A196" t="s">
        <v>2248</v>
      </c>
      <c r="B196" t="s">
        <v>16</v>
      </c>
      <c r="C196" t="s">
        <v>2535</v>
      </c>
      <c r="D196" t="s">
        <v>2536</v>
      </c>
      <c r="E196" t="s">
        <v>2537</v>
      </c>
      <c r="F196" t="s">
        <v>2357</v>
      </c>
      <c r="G196" t="s">
        <v>2538</v>
      </c>
      <c r="H196" t="s">
        <v>22</v>
      </c>
      <c r="I196" t="s">
        <v>897</v>
      </c>
    </row>
    <row r="197" spans="1:9" ht="11.25" customHeight="1">
      <c r="A197" t="s">
        <v>2248</v>
      </c>
      <c r="B197" t="s">
        <v>16</v>
      </c>
      <c r="C197" t="s">
        <v>2539</v>
      </c>
      <c r="D197" t="s">
        <v>2540</v>
      </c>
      <c r="E197" t="s">
        <v>2541</v>
      </c>
      <c r="F197" t="s">
        <v>2357</v>
      </c>
      <c r="G197" t="s">
        <v>2538</v>
      </c>
      <c r="H197" t="s">
        <v>22</v>
      </c>
      <c r="I197" t="s">
        <v>897</v>
      </c>
    </row>
    <row r="198" spans="1:9" ht="11.25" customHeight="1">
      <c r="A198" t="s">
        <v>2248</v>
      </c>
      <c r="B198" t="s">
        <v>16</v>
      </c>
      <c r="C198" t="s">
        <v>2542</v>
      </c>
      <c r="D198" t="s">
        <v>2543</v>
      </c>
      <c r="E198" t="s">
        <v>2544</v>
      </c>
      <c r="F198" t="s">
        <v>2357</v>
      </c>
      <c r="G198" t="s">
        <v>22</v>
      </c>
      <c r="H198" t="s">
        <v>22</v>
      </c>
      <c r="I198" t="s">
        <v>897</v>
      </c>
    </row>
    <row r="199" spans="1:9" ht="11.25" customHeight="1">
      <c r="A199" t="s">
        <v>2248</v>
      </c>
      <c r="B199" t="s">
        <v>16</v>
      </c>
      <c r="C199" t="s">
        <v>2553</v>
      </c>
      <c r="D199" t="s">
        <v>2554</v>
      </c>
      <c r="E199" t="s">
        <v>2555</v>
      </c>
      <c r="F199" t="s">
        <v>2378</v>
      </c>
      <c r="G199" t="s">
        <v>2556</v>
      </c>
      <c r="H199" t="s">
        <v>22</v>
      </c>
      <c r="I199" t="s">
        <v>897</v>
      </c>
    </row>
    <row r="200" spans="1:9" ht="11.25" customHeight="1">
      <c r="A200" t="s">
        <v>2248</v>
      </c>
      <c r="B200" t="s">
        <v>16</v>
      </c>
      <c r="C200" t="s">
        <v>2570</v>
      </c>
      <c r="D200" t="s">
        <v>2571</v>
      </c>
      <c r="E200" t="s">
        <v>2572</v>
      </c>
      <c r="F200" t="s">
        <v>2283</v>
      </c>
      <c r="G200" t="s">
        <v>2288</v>
      </c>
      <c r="H200" t="s">
        <v>22</v>
      </c>
      <c r="I200" t="s">
        <v>897</v>
      </c>
    </row>
    <row r="201" spans="1:9" ht="11.25" customHeight="1">
      <c r="A201" t="s">
        <v>2248</v>
      </c>
      <c r="B201" t="s">
        <v>16</v>
      </c>
      <c r="C201" t="s">
        <v>2573</v>
      </c>
      <c r="D201" t="s">
        <v>2574</v>
      </c>
      <c r="E201" t="s">
        <v>2575</v>
      </c>
      <c r="F201" t="s">
        <v>2292</v>
      </c>
      <c r="G201" t="s">
        <v>2576</v>
      </c>
      <c r="H201" t="s">
        <v>22</v>
      </c>
      <c r="I201" t="s">
        <v>897</v>
      </c>
    </row>
    <row r="202" spans="1:9" ht="11.25" customHeight="1">
      <c r="A202" t="s">
        <v>2248</v>
      </c>
      <c r="B202" t="s">
        <v>16</v>
      </c>
      <c r="C202" t="s">
        <v>2577</v>
      </c>
      <c r="D202" t="s">
        <v>2578</v>
      </c>
      <c r="E202" t="s">
        <v>2579</v>
      </c>
      <c r="F202" t="s">
        <v>2580</v>
      </c>
      <c r="G202" t="s">
        <v>2581</v>
      </c>
      <c r="H202" t="s">
        <v>22</v>
      </c>
      <c r="I202" t="s">
        <v>897</v>
      </c>
    </row>
    <row r="203" spans="1:9" ht="11.25" customHeight="1">
      <c r="A203" t="s">
        <v>2248</v>
      </c>
      <c r="B203" t="s">
        <v>16</v>
      </c>
      <c r="C203" t="s">
        <v>2582</v>
      </c>
      <c r="D203" t="s">
        <v>2583</v>
      </c>
      <c r="E203" t="s">
        <v>2584</v>
      </c>
      <c r="F203" t="s">
        <v>2580</v>
      </c>
      <c r="G203" t="s">
        <v>2585</v>
      </c>
      <c r="H203" t="s">
        <v>22</v>
      </c>
      <c r="I203" t="s">
        <v>897</v>
      </c>
    </row>
    <row r="204" spans="1:9" ht="11.25" customHeight="1">
      <c r="A204" t="s">
        <v>2248</v>
      </c>
      <c r="B204" t="s">
        <v>16</v>
      </c>
      <c r="C204" t="s">
        <v>2586</v>
      </c>
      <c r="D204" t="s">
        <v>2587</v>
      </c>
      <c r="E204" t="s">
        <v>2588</v>
      </c>
      <c r="F204" t="s">
        <v>2357</v>
      </c>
      <c r="G204" t="s">
        <v>2589</v>
      </c>
      <c r="H204" t="s">
        <v>22</v>
      </c>
      <c r="I204" t="s">
        <v>897</v>
      </c>
    </row>
    <row r="205" spans="1:9" ht="11.25" customHeight="1">
      <c r="A205" t="s">
        <v>2248</v>
      </c>
      <c r="B205" t="s">
        <v>16</v>
      </c>
      <c r="C205" t="s">
        <v>2590</v>
      </c>
      <c r="D205" t="s">
        <v>2591</v>
      </c>
      <c r="E205" t="s">
        <v>2592</v>
      </c>
      <c r="F205" t="s">
        <v>2357</v>
      </c>
      <c r="G205" t="s">
        <v>22</v>
      </c>
      <c r="H205" t="s">
        <v>22</v>
      </c>
      <c r="I205" t="s">
        <v>897</v>
      </c>
    </row>
    <row r="206" spans="1:9" ht="11.25" customHeight="1">
      <c r="A206" t="s">
        <v>2248</v>
      </c>
      <c r="B206" t="s">
        <v>16</v>
      </c>
      <c r="C206" t="s">
        <v>2601</v>
      </c>
      <c r="D206" t="s">
        <v>2602</v>
      </c>
      <c r="E206" t="s">
        <v>2603</v>
      </c>
      <c r="F206" t="s">
        <v>51</v>
      </c>
      <c r="G206" t="s">
        <v>2604</v>
      </c>
      <c r="H206" t="s">
        <v>22</v>
      </c>
      <c r="I206" t="s">
        <v>897</v>
      </c>
    </row>
    <row r="207" spans="1:9" ht="11.25" customHeight="1">
      <c r="A207" t="s">
        <v>2248</v>
      </c>
      <c r="B207" t="s">
        <v>16</v>
      </c>
      <c r="C207" t="s">
        <v>13</v>
      </c>
      <c r="D207" t="s">
        <v>46</v>
      </c>
      <c r="E207" t="s">
        <v>49</v>
      </c>
      <c r="F207" t="s">
        <v>51</v>
      </c>
      <c r="G207" t="s">
        <v>2605</v>
      </c>
      <c r="H207" t="s">
        <v>22</v>
      </c>
      <c r="I207" t="s">
        <v>897</v>
      </c>
    </row>
    <row r="208" spans="1:9" ht="11.25" customHeight="1">
      <c r="A208" t="s">
        <v>2248</v>
      </c>
      <c r="B208" t="s">
        <v>16</v>
      </c>
      <c r="C208" t="s">
        <v>2610</v>
      </c>
      <c r="D208" t="s">
        <v>2611</v>
      </c>
      <c r="E208" t="s">
        <v>2612</v>
      </c>
      <c r="F208" t="s">
        <v>2613</v>
      </c>
      <c r="G208" t="s">
        <v>2614</v>
      </c>
      <c r="H208" t="s">
        <v>22</v>
      </c>
      <c r="I208" t="s">
        <v>897</v>
      </c>
    </row>
    <row r="209" spans="1:9" ht="11.25" customHeight="1">
      <c r="A209" t="s">
        <v>2248</v>
      </c>
      <c r="B209" t="s">
        <v>16</v>
      </c>
      <c r="C209" t="s">
        <v>2629</v>
      </c>
      <c r="D209" t="s">
        <v>2630</v>
      </c>
      <c r="E209" t="s">
        <v>2631</v>
      </c>
      <c r="F209" t="s">
        <v>2257</v>
      </c>
      <c r="G209" t="s">
        <v>2632</v>
      </c>
      <c r="H209" t="s">
        <v>22</v>
      </c>
      <c r="I209" t="s">
        <v>897</v>
      </c>
    </row>
    <row r="210" spans="1:9" ht="11.25" customHeight="1">
      <c r="A210" t="s">
        <v>2248</v>
      </c>
      <c r="B210" t="s">
        <v>16</v>
      </c>
      <c r="C210" t="s">
        <v>2633</v>
      </c>
      <c r="D210" t="s">
        <v>2634</v>
      </c>
      <c r="E210" t="s">
        <v>2635</v>
      </c>
      <c r="F210" t="s">
        <v>51</v>
      </c>
      <c r="G210" t="s">
        <v>2636</v>
      </c>
      <c r="H210" t="s">
        <v>2637</v>
      </c>
      <c r="I210" t="s">
        <v>897</v>
      </c>
    </row>
    <row r="211" spans="1:9" ht="11.25" customHeight="1">
      <c r="A211" t="s">
        <v>2248</v>
      </c>
      <c r="B211" t="s">
        <v>16</v>
      </c>
      <c r="C211" t="s">
        <v>2646</v>
      </c>
      <c r="D211" t="s">
        <v>2647</v>
      </c>
      <c r="E211" t="s">
        <v>2648</v>
      </c>
      <c r="F211" t="s">
        <v>2257</v>
      </c>
      <c r="G211" t="s">
        <v>2649</v>
      </c>
      <c r="H211" t="s">
        <v>22</v>
      </c>
      <c r="I211" t="s">
        <v>897</v>
      </c>
    </row>
    <row r="212" spans="1:9" ht="11.25" customHeight="1">
      <c r="A212" t="s">
        <v>2248</v>
      </c>
      <c r="B212" t="s">
        <v>16</v>
      </c>
      <c r="C212" t="s">
        <v>2650</v>
      </c>
      <c r="D212" t="s">
        <v>2651</v>
      </c>
      <c r="E212" t="s">
        <v>2652</v>
      </c>
      <c r="F212" t="s">
        <v>2368</v>
      </c>
      <c r="G212" t="s">
        <v>2653</v>
      </c>
      <c r="H212" t="s">
        <v>22</v>
      </c>
      <c r="I212" t="s">
        <v>897</v>
      </c>
    </row>
    <row r="213" spans="1:9" ht="11.25" customHeight="1">
      <c r="A213" t="s">
        <v>2248</v>
      </c>
      <c r="B213" t="s">
        <v>16</v>
      </c>
      <c r="C213" t="s">
        <v>2654</v>
      </c>
      <c r="D213" t="s">
        <v>2655</v>
      </c>
      <c r="E213" t="s">
        <v>2656</v>
      </c>
      <c r="F213" t="s">
        <v>2257</v>
      </c>
      <c r="G213" t="s">
        <v>2657</v>
      </c>
      <c r="H213" t="s">
        <v>22</v>
      </c>
      <c r="I213" t="s">
        <v>897</v>
      </c>
    </row>
    <row r="214" spans="1:9" ht="11.25" customHeight="1">
      <c r="A214" t="s">
        <v>2248</v>
      </c>
      <c r="B214" t="s">
        <v>16</v>
      </c>
      <c r="C214" t="s">
        <v>2658</v>
      </c>
      <c r="D214" t="s">
        <v>2659</v>
      </c>
      <c r="E214" t="s">
        <v>2660</v>
      </c>
      <c r="F214" t="s">
        <v>51</v>
      </c>
      <c r="G214" t="s">
        <v>2661</v>
      </c>
      <c r="H214" t="s">
        <v>22</v>
      </c>
      <c r="I214" t="s">
        <v>897</v>
      </c>
    </row>
    <row r="215" spans="1:9" ht="11.25" customHeight="1">
      <c r="A215" t="s">
        <v>2248</v>
      </c>
      <c r="B215" t="s">
        <v>16</v>
      </c>
      <c r="C215" t="s">
        <v>2666</v>
      </c>
      <c r="D215" t="s">
        <v>2667</v>
      </c>
      <c r="E215" t="s">
        <v>2668</v>
      </c>
      <c r="F215" t="s">
        <v>2257</v>
      </c>
      <c r="G215" t="s">
        <v>2669</v>
      </c>
      <c r="H215" t="s">
        <v>22</v>
      </c>
      <c r="I215" t="s">
        <v>897</v>
      </c>
    </row>
    <row r="216" spans="1:9" ht="11.25" customHeight="1">
      <c r="A216" t="s">
        <v>2248</v>
      </c>
      <c r="B216" t="s">
        <v>16</v>
      </c>
      <c r="C216" t="s">
        <v>2670</v>
      </c>
      <c r="D216" t="s">
        <v>2671</v>
      </c>
      <c r="E216" t="s">
        <v>2672</v>
      </c>
      <c r="F216" t="s">
        <v>51</v>
      </c>
      <c r="G216" t="s">
        <v>22</v>
      </c>
      <c r="H216" t="s">
        <v>22</v>
      </c>
      <c r="I216" t="s">
        <v>897</v>
      </c>
    </row>
    <row r="217" spans="1:9" ht="11.25" customHeight="1">
      <c r="A217" t="s">
        <v>2248</v>
      </c>
      <c r="B217" t="s">
        <v>16</v>
      </c>
      <c r="C217" t="s">
        <v>2673</v>
      </c>
      <c r="D217" t="s">
        <v>2674</v>
      </c>
      <c r="E217" t="s">
        <v>2675</v>
      </c>
      <c r="F217" t="s">
        <v>51</v>
      </c>
      <c r="G217" t="s">
        <v>2676</v>
      </c>
      <c r="H217" t="s">
        <v>22</v>
      </c>
      <c r="I217" t="s">
        <v>897</v>
      </c>
    </row>
    <row r="218" spans="1:9" ht="11.25" customHeight="1">
      <c r="A218" t="s">
        <v>2248</v>
      </c>
      <c r="B218" t="s">
        <v>16</v>
      </c>
      <c r="C218" t="s">
        <v>2677</v>
      </c>
      <c r="D218" t="s">
        <v>2674</v>
      </c>
      <c r="E218" t="s">
        <v>2678</v>
      </c>
      <c r="F218" t="s">
        <v>51</v>
      </c>
      <c r="G218" t="s">
        <v>2679</v>
      </c>
      <c r="H218" t="s">
        <v>22</v>
      </c>
      <c r="I218" t="s">
        <v>897</v>
      </c>
    </row>
    <row r="219" spans="1:9" ht="11.25" customHeight="1">
      <c r="A219" t="s">
        <v>2248</v>
      </c>
      <c r="B219" t="s">
        <v>16</v>
      </c>
      <c r="C219" t="s">
        <v>2680</v>
      </c>
      <c r="D219" t="s">
        <v>2681</v>
      </c>
      <c r="E219" t="s">
        <v>2682</v>
      </c>
      <c r="F219" t="s">
        <v>51</v>
      </c>
      <c r="G219" t="s">
        <v>2683</v>
      </c>
      <c r="H219" t="s">
        <v>22</v>
      </c>
      <c r="I219" t="s">
        <v>897</v>
      </c>
    </row>
    <row r="220" spans="1:9" ht="11.25" customHeight="1">
      <c r="A220" t="s">
        <v>2248</v>
      </c>
      <c r="B220" t="s">
        <v>16</v>
      </c>
      <c r="C220" t="s">
        <v>2688</v>
      </c>
      <c r="D220" t="s">
        <v>2689</v>
      </c>
      <c r="E220" t="s">
        <v>2690</v>
      </c>
      <c r="F220" t="s">
        <v>2257</v>
      </c>
      <c r="G220" t="s">
        <v>2691</v>
      </c>
      <c r="H220" t="s">
        <v>22</v>
      </c>
      <c r="I220" t="s">
        <v>897</v>
      </c>
    </row>
    <row r="221" spans="1:9" ht="11.25" customHeight="1">
      <c r="A221" t="s">
        <v>2248</v>
      </c>
      <c r="B221" t="s">
        <v>16</v>
      </c>
      <c r="C221" t="s">
        <v>2692</v>
      </c>
      <c r="D221" t="s">
        <v>2693</v>
      </c>
      <c r="E221" t="s">
        <v>2694</v>
      </c>
      <c r="F221" t="s">
        <v>2283</v>
      </c>
      <c r="G221" t="s">
        <v>2695</v>
      </c>
      <c r="H221" t="s">
        <v>22</v>
      </c>
      <c r="I221" t="s">
        <v>897</v>
      </c>
    </row>
    <row r="222" spans="1:9" ht="11.25" customHeight="1">
      <c r="A222" t="s">
        <v>2248</v>
      </c>
      <c r="B222" t="s">
        <v>16</v>
      </c>
      <c r="C222" t="s">
        <v>2705</v>
      </c>
      <c r="D222" t="s">
        <v>2706</v>
      </c>
      <c r="E222" t="s">
        <v>2707</v>
      </c>
      <c r="F222" t="s">
        <v>2708</v>
      </c>
      <c r="G222" t="s">
        <v>2709</v>
      </c>
      <c r="H222" t="s">
        <v>22</v>
      </c>
      <c r="I222" t="s">
        <v>897</v>
      </c>
    </row>
    <row r="223" spans="1:9" ht="11.25" customHeight="1">
      <c r="A223" t="s">
        <v>2248</v>
      </c>
      <c r="B223" t="s">
        <v>16</v>
      </c>
      <c r="C223" t="s">
        <v>2710</v>
      </c>
      <c r="D223" t="s">
        <v>2711</v>
      </c>
      <c r="E223" t="s">
        <v>2712</v>
      </c>
      <c r="F223" t="s">
        <v>2257</v>
      </c>
      <c r="G223" t="s">
        <v>2713</v>
      </c>
      <c r="H223" t="s">
        <v>22</v>
      </c>
      <c r="I223" t="s">
        <v>897</v>
      </c>
    </row>
    <row r="224" spans="1:9" ht="11.25" customHeight="1">
      <c r="A224" t="s">
        <v>2248</v>
      </c>
      <c r="B224" t="s">
        <v>16</v>
      </c>
      <c r="C224" t="s">
        <v>2718</v>
      </c>
      <c r="D224" t="s">
        <v>2719</v>
      </c>
      <c r="E224" t="s">
        <v>2720</v>
      </c>
      <c r="F224" t="s">
        <v>2257</v>
      </c>
      <c r="G224" t="s">
        <v>2721</v>
      </c>
      <c r="H224" t="s">
        <v>2624</v>
      </c>
      <c r="I224" t="s">
        <v>897</v>
      </c>
    </row>
    <row r="225" spans="1:9" ht="11.25" customHeight="1">
      <c r="A225" t="s">
        <v>2248</v>
      </c>
      <c r="B225" t="s">
        <v>16</v>
      </c>
      <c r="C225" t="s">
        <v>2722</v>
      </c>
      <c r="D225" t="s">
        <v>2719</v>
      </c>
      <c r="E225" t="s">
        <v>2723</v>
      </c>
      <c r="F225" t="s">
        <v>2257</v>
      </c>
      <c r="G225" t="s">
        <v>2724</v>
      </c>
      <c r="H225" t="s">
        <v>22</v>
      </c>
      <c r="I225" t="s">
        <v>897</v>
      </c>
    </row>
    <row r="226" spans="1:9" ht="11.25" customHeight="1">
      <c r="A226" t="s">
        <v>2248</v>
      </c>
      <c r="B226" t="s">
        <v>16</v>
      </c>
      <c r="C226" t="s">
        <v>2733</v>
      </c>
      <c r="D226" t="s">
        <v>2734</v>
      </c>
      <c r="E226" t="s">
        <v>2735</v>
      </c>
      <c r="F226" t="s">
        <v>2252</v>
      </c>
      <c r="G226" t="s">
        <v>22</v>
      </c>
      <c r="H226" t="s">
        <v>22</v>
      </c>
      <c r="I226" t="s">
        <v>897</v>
      </c>
    </row>
    <row r="227" spans="1:9" ht="11.25" customHeight="1">
      <c r="A227" t="s">
        <v>2248</v>
      </c>
      <c r="B227" t="s">
        <v>16</v>
      </c>
      <c r="C227" t="s">
        <v>2754</v>
      </c>
      <c r="D227" t="s">
        <v>2755</v>
      </c>
      <c r="E227" t="s">
        <v>2756</v>
      </c>
      <c r="F227" t="s">
        <v>2357</v>
      </c>
      <c r="G227" t="s">
        <v>2757</v>
      </c>
      <c r="H227" t="s">
        <v>2758</v>
      </c>
      <c r="I227" t="s">
        <v>897</v>
      </c>
    </row>
    <row r="228" spans="1:9" ht="11.25" customHeight="1">
      <c r="A228" t="s">
        <v>2248</v>
      </c>
      <c r="B228" t="s">
        <v>16</v>
      </c>
      <c r="C228" t="s">
        <v>2759</v>
      </c>
      <c r="D228" t="s">
        <v>2760</v>
      </c>
      <c r="E228" t="s">
        <v>2761</v>
      </c>
      <c r="F228" t="s">
        <v>2357</v>
      </c>
      <c r="G228" t="s">
        <v>2762</v>
      </c>
      <c r="H228" t="s">
        <v>2758</v>
      </c>
      <c r="I228" t="s">
        <v>897</v>
      </c>
    </row>
    <row r="229" spans="1:9" ht="11.25" customHeight="1">
      <c r="A229" t="s">
        <v>2248</v>
      </c>
      <c r="B229" t="s">
        <v>16</v>
      </c>
      <c r="C229" t="s">
        <v>2763</v>
      </c>
      <c r="D229" t="s">
        <v>2764</v>
      </c>
      <c r="E229" t="s">
        <v>2765</v>
      </c>
      <c r="F229" t="s">
        <v>2357</v>
      </c>
      <c r="G229" t="s">
        <v>2762</v>
      </c>
      <c r="H229" t="s">
        <v>2758</v>
      </c>
      <c r="I229" t="s">
        <v>897</v>
      </c>
    </row>
    <row r="230" spans="1:9" ht="11.25" customHeight="1">
      <c r="A230" t="s">
        <v>2248</v>
      </c>
      <c r="B230" t="s">
        <v>16</v>
      </c>
      <c r="C230" t="s">
        <v>2766</v>
      </c>
      <c r="D230" t="s">
        <v>2767</v>
      </c>
      <c r="E230" t="s">
        <v>2768</v>
      </c>
      <c r="F230" t="s">
        <v>2357</v>
      </c>
      <c r="G230" t="s">
        <v>2762</v>
      </c>
      <c r="H230" t="s">
        <v>2758</v>
      </c>
      <c r="I230" t="s">
        <v>897</v>
      </c>
    </row>
    <row r="231" spans="1:9" ht="11.25" customHeight="1">
      <c r="A231" t="s">
        <v>2248</v>
      </c>
      <c r="B231" t="s">
        <v>16</v>
      </c>
      <c r="C231" t="s">
        <v>2769</v>
      </c>
      <c r="D231" t="s">
        <v>2770</v>
      </c>
      <c r="E231" t="s">
        <v>2771</v>
      </c>
      <c r="F231" t="s">
        <v>2283</v>
      </c>
      <c r="G231" t="s">
        <v>2772</v>
      </c>
      <c r="H231" t="s">
        <v>22</v>
      </c>
      <c r="I231" t="s">
        <v>897</v>
      </c>
    </row>
    <row r="232" spans="1:9" ht="11.25" customHeight="1">
      <c r="A232" t="s">
        <v>2248</v>
      </c>
      <c r="B232" t="s">
        <v>16</v>
      </c>
      <c r="C232" t="s">
        <v>2773</v>
      </c>
      <c r="D232" t="s">
        <v>2774</v>
      </c>
      <c r="E232" t="s">
        <v>2775</v>
      </c>
      <c r="F232" t="s">
        <v>2257</v>
      </c>
      <c r="G232" t="s">
        <v>2776</v>
      </c>
      <c r="H232" t="s">
        <v>22</v>
      </c>
      <c r="I232" t="s">
        <v>897</v>
      </c>
    </row>
    <row r="233" spans="1:9" ht="11.25" customHeight="1">
      <c r="A233" t="s">
        <v>2248</v>
      </c>
      <c r="B233" t="s">
        <v>16</v>
      </c>
      <c r="C233" t="s">
        <v>2777</v>
      </c>
      <c r="D233" t="s">
        <v>2778</v>
      </c>
      <c r="E233" t="s">
        <v>2779</v>
      </c>
      <c r="F233" t="s">
        <v>2257</v>
      </c>
      <c r="G233" t="s">
        <v>2780</v>
      </c>
      <c r="H233" t="s">
        <v>22</v>
      </c>
      <c r="I233" t="s">
        <v>897</v>
      </c>
    </row>
    <row r="234" spans="1:9" ht="11.25" customHeight="1">
      <c r="A234" t="s">
        <v>2248</v>
      </c>
      <c r="B234" t="s">
        <v>16</v>
      </c>
      <c r="C234" t="s">
        <v>2781</v>
      </c>
      <c r="D234" t="s">
        <v>2782</v>
      </c>
      <c r="E234" t="s">
        <v>2783</v>
      </c>
      <c r="F234" t="s">
        <v>51</v>
      </c>
      <c r="G234" t="s">
        <v>2784</v>
      </c>
      <c r="H234" t="s">
        <v>22</v>
      </c>
      <c r="I234" t="s">
        <v>897</v>
      </c>
    </row>
    <row r="235" spans="1:9" ht="11.25" customHeight="1">
      <c r="A235" t="s">
        <v>2248</v>
      </c>
      <c r="B235" t="s">
        <v>16</v>
      </c>
      <c r="C235" t="s">
        <v>2796</v>
      </c>
      <c r="D235" t="s">
        <v>2797</v>
      </c>
      <c r="E235" t="s">
        <v>2798</v>
      </c>
      <c r="F235" t="s">
        <v>2257</v>
      </c>
      <c r="G235" t="s">
        <v>2799</v>
      </c>
      <c r="H235" t="s">
        <v>22</v>
      </c>
      <c r="I235" t="s">
        <v>897</v>
      </c>
    </row>
    <row r="236" spans="1:9" ht="11.25" customHeight="1">
      <c r="A236" t="s">
        <v>2248</v>
      </c>
      <c r="B236" t="s">
        <v>16</v>
      </c>
      <c r="C236" t="s">
        <v>2800</v>
      </c>
      <c r="D236" t="s">
        <v>2801</v>
      </c>
      <c r="E236" t="s">
        <v>2802</v>
      </c>
      <c r="F236" t="s">
        <v>2257</v>
      </c>
      <c r="G236" t="s">
        <v>2803</v>
      </c>
      <c r="H236" t="s">
        <v>22</v>
      </c>
      <c r="I236" t="s">
        <v>897</v>
      </c>
    </row>
    <row r="237" spans="1:9" ht="11.25" customHeight="1">
      <c r="A237" t="s">
        <v>2248</v>
      </c>
      <c r="B237" t="s">
        <v>16</v>
      </c>
      <c r="C237" t="s">
        <v>2804</v>
      </c>
      <c r="D237" t="s">
        <v>2805</v>
      </c>
      <c r="E237" t="s">
        <v>2806</v>
      </c>
      <c r="F237" t="s">
        <v>51</v>
      </c>
      <c r="G237" t="s">
        <v>2807</v>
      </c>
      <c r="H237" t="s">
        <v>22</v>
      </c>
      <c r="I237" t="s">
        <v>897</v>
      </c>
    </row>
    <row r="238" spans="1:9" ht="11.25" customHeight="1">
      <c r="A238" t="s">
        <v>2248</v>
      </c>
      <c r="B238" t="s">
        <v>16</v>
      </c>
      <c r="C238" t="s">
        <v>2823</v>
      </c>
      <c r="D238" t="s">
        <v>2824</v>
      </c>
      <c r="E238" t="s">
        <v>2825</v>
      </c>
      <c r="F238" t="s">
        <v>2252</v>
      </c>
      <c r="G238" t="s">
        <v>2826</v>
      </c>
      <c r="H238" t="s">
        <v>22</v>
      </c>
      <c r="I238" t="s">
        <v>897</v>
      </c>
    </row>
    <row r="239" spans="1:9" ht="11.25" customHeight="1">
      <c r="A239" t="s">
        <v>2248</v>
      </c>
      <c r="B239" t="s">
        <v>16</v>
      </c>
      <c r="C239" t="s">
        <v>2827</v>
      </c>
      <c r="D239" t="s">
        <v>2828</v>
      </c>
      <c r="E239" t="s">
        <v>2829</v>
      </c>
      <c r="F239" t="s">
        <v>51</v>
      </c>
      <c r="G239" t="s">
        <v>2830</v>
      </c>
      <c r="H239" t="s">
        <v>22</v>
      </c>
      <c r="I239" t="s">
        <v>897</v>
      </c>
    </row>
    <row r="240" spans="1:9" ht="11.25" customHeight="1">
      <c r="A240" t="s">
        <v>2248</v>
      </c>
      <c r="B240" t="s">
        <v>16</v>
      </c>
      <c r="C240" t="s">
        <v>2839</v>
      </c>
      <c r="D240" t="s">
        <v>2840</v>
      </c>
      <c r="E240" t="s">
        <v>2841</v>
      </c>
      <c r="F240" t="s">
        <v>51</v>
      </c>
      <c r="G240" t="s">
        <v>2842</v>
      </c>
      <c r="H240" t="s">
        <v>22</v>
      </c>
      <c r="I240" t="s">
        <v>897</v>
      </c>
    </row>
    <row r="241" spans="1:9" ht="11.25" customHeight="1">
      <c r="A241" t="s">
        <v>2248</v>
      </c>
      <c r="B241" t="s">
        <v>16</v>
      </c>
      <c r="C241" t="s">
        <v>2856</v>
      </c>
      <c r="D241" t="s">
        <v>2857</v>
      </c>
      <c r="E241" t="s">
        <v>2858</v>
      </c>
      <c r="F241" t="s">
        <v>51</v>
      </c>
      <c r="G241" t="s">
        <v>2859</v>
      </c>
      <c r="H241" t="s">
        <v>22</v>
      </c>
      <c r="I241" t="s">
        <v>897</v>
      </c>
    </row>
    <row r="242" spans="1:9" ht="11.25" customHeight="1">
      <c r="A242" t="s">
        <v>2248</v>
      </c>
      <c r="B242" t="s">
        <v>16</v>
      </c>
      <c r="C242" t="s">
        <v>2864</v>
      </c>
      <c r="D242" t="s">
        <v>2865</v>
      </c>
      <c r="E242" t="s">
        <v>2866</v>
      </c>
      <c r="F242" t="s">
        <v>51</v>
      </c>
      <c r="G242" t="s">
        <v>2867</v>
      </c>
      <c r="H242" t="s">
        <v>22</v>
      </c>
      <c r="I242" t="s">
        <v>897</v>
      </c>
    </row>
    <row r="243" spans="1:9" ht="11.25" customHeight="1">
      <c r="A243" t="s">
        <v>2248</v>
      </c>
      <c r="B243" t="s">
        <v>16</v>
      </c>
      <c r="C243" t="s">
        <v>2872</v>
      </c>
      <c r="D243" t="s">
        <v>2873</v>
      </c>
      <c r="E243" t="s">
        <v>2874</v>
      </c>
      <c r="F243" t="s">
        <v>2257</v>
      </c>
      <c r="G243" t="s">
        <v>2875</v>
      </c>
      <c r="H243" t="s">
        <v>22</v>
      </c>
      <c r="I243" t="s">
        <v>897</v>
      </c>
    </row>
    <row r="244" spans="1:9" ht="11.25" customHeight="1">
      <c r="A244" t="s">
        <v>2248</v>
      </c>
      <c r="B244" t="s">
        <v>16</v>
      </c>
      <c r="C244" t="s">
        <v>2884</v>
      </c>
      <c r="D244" t="s">
        <v>2885</v>
      </c>
      <c r="E244" t="s">
        <v>2886</v>
      </c>
      <c r="F244" t="s">
        <v>2257</v>
      </c>
      <c r="G244" t="s">
        <v>2887</v>
      </c>
      <c r="H244" t="s">
        <v>22</v>
      </c>
      <c r="I244" t="s">
        <v>897</v>
      </c>
    </row>
    <row r="245" spans="1:9" ht="11.25" customHeight="1">
      <c r="A245" t="s">
        <v>2248</v>
      </c>
      <c r="B245" t="s">
        <v>16</v>
      </c>
      <c r="C245" t="s">
        <v>2892</v>
      </c>
      <c r="D245" t="s">
        <v>2893</v>
      </c>
      <c r="E245" t="s">
        <v>2894</v>
      </c>
      <c r="F245" t="s">
        <v>2580</v>
      </c>
      <c r="G245" t="s">
        <v>2895</v>
      </c>
      <c r="H245" t="s">
        <v>22</v>
      </c>
      <c r="I245" t="s">
        <v>897</v>
      </c>
    </row>
    <row r="246" spans="1:9" ht="11.25" customHeight="1">
      <c r="A246" t="s">
        <v>2248</v>
      </c>
      <c r="B246" t="s">
        <v>16</v>
      </c>
      <c r="C246" t="s">
        <v>2908</v>
      </c>
      <c r="D246" t="s">
        <v>2909</v>
      </c>
      <c r="E246" t="s">
        <v>2910</v>
      </c>
      <c r="F246" t="s">
        <v>2257</v>
      </c>
      <c r="G246" t="s">
        <v>2911</v>
      </c>
      <c r="H246" t="s">
        <v>22</v>
      </c>
      <c r="I246" t="s">
        <v>897</v>
      </c>
    </row>
    <row r="247" spans="1:9" ht="11.25" customHeight="1">
      <c r="A247" t="s">
        <v>2248</v>
      </c>
      <c r="B247" t="s">
        <v>16</v>
      </c>
      <c r="C247" t="s">
        <v>2921</v>
      </c>
      <c r="D247" t="s">
        <v>2922</v>
      </c>
      <c r="E247" t="s">
        <v>2923</v>
      </c>
      <c r="F247" t="s">
        <v>2257</v>
      </c>
      <c r="G247" t="s">
        <v>2924</v>
      </c>
      <c r="H247" t="s">
        <v>22</v>
      </c>
      <c r="I247" t="s">
        <v>897</v>
      </c>
    </row>
    <row r="248" spans="1:9" ht="11.25" customHeight="1">
      <c r="A248" t="s">
        <v>2248</v>
      </c>
      <c r="B248" t="s">
        <v>16</v>
      </c>
      <c r="C248" t="s">
        <v>2258</v>
      </c>
      <c r="D248" t="s">
        <v>2259</v>
      </c>
      <c r="E248" t="s">
        <v>2260</v>
      </c>
      <c r="F248" t="s">
        <v>51</v>
      </c>
      <c r="G248" t="s">
        <v>2261</v>
      </c>
      <c r="H248" t="s">
        <v>22</v>
      </c>
      <c r="I248" t="s">
        <v>857</v>
      </c>
    </row>
    <row r="249" spans="1:9" ht="11.25" customHeight="1">
      <c r="A249" t="s">
        <v>2248</v>
      </c>
      <c r="B249" t="s">
        <v>16</v>
      </c>
      <c r="C249" t="s">
        <v>2930</v>
      </c>
      <c r="D249" t="s">
        <v>2263</v>
      </c>
      <c r="E249" t="s">
        <v>2264</v>
      </c>
      <c r="F249" t="s">
        <v>2931</v>
      </c>
      <c r="G249" t="s">
        <v>2932</v>
      </c>
      <c r="H249" t="s">
        <v>22</v>
      </c>
      <c r="I249" t="s">
        <v>857</v>
      </c>
    </row>
    <row r="250" spans="1:9" ht="11.25" customHeight="1">
      <c r="A250" t="s">
        <v>2248</v>
      </c>
      <c r="B250" t="s">
        <v>16</v>
      </c>
      <c r="C250" t="s">
        <v>2262</v>
      </c>
      <c r="D250" t="s">
        <v>2263</v>
      </c>
      <c r="E250" t="s">
        <v>2264</v>
      </c>
      <c r="F250" t="s">
        <v>2265</v>
      </c>
      <c r="G250" t="s">
        <v>22</v>
      </c>
      <c r="H250" t="s">
        <v>22</v>
      </c>
      <c r="I250" t="s">
        <v>857</v>
      </c>
    </row>
    <row r="251" spans="1:9" ht="11.25" customHeight="1">
      <c r="A251" t="s">
        <v>2248</v>
      </c>
      <c r="B251" t="s">
        <v>16</v>
      </c>
      <c r="C251" t="s">
        <v>2280</v>
      </c>
      <c r="D251" t="s">
        <v>2281</v>
      </c>
      <c r="E251" t="s">
        <v>2282</v>
      </c>
      <c r="F251" t="s">
        <v>2283</v>
      </c>
      <c r="G251" t="s">
        <v>2284</v>
      </c>
      <c r="H251" t="s">
        <v>22</v>
      </c>
      <c r="I251" t="s">
        <v>857</v>
      </c>
    </row>
    <row r="252" spans="1:9" ht="11.25" customHeight="1">
      <c r="A252" t="s">
        <v>2248</v>
      </c>
      <c r="B252" t="s">
        <v>16</v>
      </c>
      <c r="C252" t="s">
        <v>2285</v>
      </c>
      <c r="D252" t="s">
        <v>2286</v>
      </c>
      <c r="E252" t="s">
        <v>2287</v>
      </c>
      <c r="F252" t="s">
        <v>2283</v>
      </c>
      <c r="G252" t="s">
        <v>2288</v>
      </c>
      <c r="H252" t="s">
        <v>22</v>
      </c>
      <c r="I252" t="s">
        <v>857</v>
      </c>
    </row>
    <row r="253" spans="1:9" ht="11.25" customHeight="1">
      <c r="A253" t="s">
        <v>2248</v>
      </c>
      <c r="B253" t="s">
        <v>16</v>
      </c>
      <c r="C253" t="s">
        <v>2933</v>
      </c>
      <c r="D253" t="s">
        <v>2934</v>
      </c>
      <c r="E253" t="s">
        <v>2935</v>
      </c>
      <c r="F253" t="s">
        <v>51</v>
      </c>
      <c r="G253" t="s">
        <v>2826</v>
      </c>
      <c r="H253" t="s">
        <v>22</v>
      </c>
      <c r="I253" t="s">
        <v>857</v>
      </c>
    </row>
    <row r="254" spans="1:9" ht="11.25" customHeight="1">
      <c r="A254" t="s">
        <v>2248</v>
      </c>
      <c r="B254" t="s">
        <v>16</v>
      </c>
      <c r="C254" t="s">
        <v>2298</v>
      </c>
      <c r="D254" t="s">
        <v>2299</v>
      </c>
      <c r="E254" t="s">
        <v>2300</v>
      </c>
      <c r="F254" t="s">
        <v>2257</v>
      </c>
      <c r="G254" t="s">
        <v>2301</v>
      </c>
      <c r="H254" t="s">
        <v>22</v>
      </c>
      <c r="I254" t="s">
        <v>857</v>
      </c>
    </row>
    <row r="255" spans="1:9" ht="11.25" customHeight="1">
      <c r="A255" t="s">
        <v>2248</v>
      </c>
      <c r="B255" t="s">
        <v>16</v>
      </c>
      <c r="C255" t="s">
        <v>2936</v>
      </c>
      <c r="D255" t="s">
        <v>2937</v>
      </c>
      <c r="E255" t="s">
        <v>2938</v>
      </c>
      <c r="F255" t="s">
        <v>2939</v>
      </c>
      <c r="G255" t="s">
        <v>2940</v>
      </c>
      <c r="H255" t="s">
        <v>22</v>
      </c>
      <c r="I255" t="s">
        <v>857</v>
      </c>
    </row>
    <row r="256" spans="1:9" ht="11.25" customHeight="1">
      <c r="A256" t="s">
        <v>2248</v>
      </c>
      <c r="B256" t="s">
        <v>16</v>
      </c>
      <c r="C256" t="s">
        <v>2941</v>
      </c>
      <c r="D256" t="s">
        <v>2942</v>
      </c>
      <c r="E256" t="s">
        <v>2943</v>
      </c>
      <c r="F256" t="s">
        <v>2944</v>
      </c>
      <c r="G256" t="s">
        <v>2945</v>
      </c>
      <c r="H256" t="s">
        <v>22</v>
      </c>
      <c r="I256" t="s">
        <v>857</v>
      </c>
    </row>
    <row r="257" spans="1:9" ht="11.25" customHeight="1">
      <c r="A257" t="s">
        <v>2248</v>
      </c>
      <c r="B257" t="s">
        <v>16</v>
      </c>
      <c r="C257" t="s">
        <v>2946</v>
      </c>
      <c r="D257" t="s">
        <v>2947</v>
      </c>
      <c r="E257" t="s">
        <v>2948</v>
      </c>
      <c r="F257" t="s">
        <v>2473</v>
      </c>
      <c r="G257" t="s">
        <v>2949</v>
      </c>
      <c r="H257" t="s">
        <v>22</v>
      </c>
      <c r="I257" t="s">
        <v>857</v>
      </c>
    </row>
    <row r="258" spans="1:9" ht="11.25" customHeight="1">
      <c r="A258" t="s">
        <v>2248</v>
      </c>
      <c r="B258" t="s">
        <v>16</v>
      </c>
      <c r="C258" t="s">
        <v>2950</v>
      </c>
      <c r="D258" t="s">
        <v>2951</v>
      </c>
      <c r="E258" t="s">
        <v>2952</v>
      </c>
      <c r="F258" t="s">
        <v>2473</v>
      </c>
      <c r="G258" t="s">
        <v>2953</v>
      </c>
      <c r="H258" t="s">
        <v>22</v>
      </c>
      <c r="I258" t="s">
        <v>857</v>
      </c>
    </row>
    <row r="259" spans="1:9" ht="11.25" customHeight="1">
      <c r="A259" t="s">
        <v>2248</v>
      </c>
      <c r="B259" t="s">
        <v>16</v>
      </c>
      <c r="C259" t="s">
        <v>2954</v>
      </c>
      <c r="D259" t="s">
        <v>2955</v>
      </c>
      <c r="E259" t="s">
        <v>2956</v>
      </c>
      <c r="F259" t="s">
        <v>2446</v>
      </c>
      <c r="G259" t="s">
        <v>2957</v>
      </c>
      <c r="H259" t="s">
        <v>22</v>
      </c>
      <c r="I259" t="s">
        <v>857</v>
      </c>
    </row>
    <row r="260" spans="1:9" ht="11.25" customHeight="1">
      <c r="A260" t="s">
        <v>2248</v>
      </c>
      <c r="B260" t="s">
        <v>16</v>
      </c>
      <c r="C260" t="s">
        <v>2958</v>
      </c>
      <c r="D260" t="s">
        <v>2959</v>
      </c>
      <c r="E260" t="s">
        <v>2960</v>
      </c>
      <c r="F260" t="s">
        <v>2473</v>
      </c>
      <c r="G260" t="s">
        <v>22</v>
      </c>
      <c r="H260" t="s">
        <v>22</v>
      </c>
      <c r="I260" t="s">
        <v>857</v>
      </c>
    </row>
    <row r="261" spans="1:9" ht="11.25" customHeight="1">
      <c r="A261" t="s">
        <v>2248</v>
      </c>
      <c r="B261" t="s">
        <v>16</v>
      </c>
      <c r="C261" t="s">
        <v>2961</v>
      </c>
      <c r="D261" t="s">
        <v>2962</v>
      </c>
      <c r="E261" t="s">
        <v>2963</v>
      </c>
      <c r="F261" t="s">
        <v>2446</v>
      </c>
      <c r="G261" t="s">
        <v>2957</v>
      </c>
      <c r="H261" t="s">
        <v>22</v>
      </c>
      <c r="I261" t="s">
        <v>857</v>
      </c>
    </row>
    <row r="262" spans="1:9" ht="11.25" customHeight="1">
      <c r="A262" t="s">
        <v>2248</v>
      </c>
      <c r="B262" t="s">
        <v>16</v>
      </c>
      <c r="C262" t="s">
        <v>2964</v>
      </c>
      <c r="D262" t="s">
        <v>2965</v>
      </c>
      <c r="E262" t="s">
        <v>2966</v>
      </c>
      <c r="F262" t="s">
        <v>2837</v>
      </c>
      <c r="G262" t="s">
        <v>2967</v>
      </c>
      <c r="H262" t="s">
        <v>22</v>
      </c>
      <c r="I262" t="s">
        <v>857</v>
      </c>
    </row>
    <row r="263" spans="1:9" ht="11.25" customHeight="1">
      <c r="A263" t="s">
        <v>2248</v>
      </c>
      <c r="B263" t="s">
        <v>16</v>
      </c>
      <c r="C263" t="s">
        <v>2968</v>
      </c>
      <c r="D263" t="s">
        <v>2969</v>
      </c>
      <c r="E263" t="s">
        <v>2970</v>
      </c>
      <c r="F263" t="s">
        <v>2473</v>
      </c>
      <c r="G263" t="s">
        <v>2971</v>
      </c>
      <c r="H263" t="s">
        <v>22</v>
      </c>
      <c r="I263" t="s">
        <v>857</v>
      </c>
    </row>
    <row r="264" spans="1:9" ht="11.25" customHeight="1">
      <c r="A264" t="s">
        <v>2248</v>
      </c>
      <c r="B264" t="s">
        <v>16</v>
      </c>
      <c r="C264" t="s">
        <v>2313</v>
      </c>
      <c r="D264" t="s">
        <v>2314</v>
      </c>
      <c r="E264" t="s">
        <v>2315</v>
      </c>
      <c r="F264" t="s">
        <v>2316</v>
      </c>
      <c r="G264" t="s">
        <v>2317</v>
      </c>
      <c r="H264" t="s">
        <v>22</v>
      </c>
      <c r="I264" t="s">
        <v>857</v>
      </c>
    </row>
    <row r="265" spans="1:9" ht="11.25" customHeight="1">
      <c r="A265" t="s">
        <v>2248</v>
      </c>
      <c r="B265" t="s">
        <v>16</v>
      </c>
      <c r="C265" t="s">
        <v>2318</v>
      </c>
      <c r="D265" t="s">
        <v>2319</v>
      </c>
      <c r="E265" t="s">
        <v>2315</v>
      </c>
      <c r="F265" t="s">
        <v>2320</v>
      </c>
      <c r="G265" t="s">
        <v>2317</v>
      </c>
      <c r="H265" t="s">
        <v>22</v>
      </c>
      <c r="I265" t="s">
        <v>857</v>
      </c>
    </row>
    <row r="266" spans="1:9" ht="11.25" customHeight="1">
      <c r="A266" t="s">
        <v>2248</v>
      </c>
      <c r="B266" t="s">
        <v>16</v>
      </c>
      <c r="C266" t="s">
        <v>22</v>
      </c>
      <c r="D266" t="s">
        <v>2321</v>
      </c>
      <c r="E266" t="s">
        <v>2322</v>
      </c>
      <c r="F266" t="s">
        <v>2257</v>
      </c>
      <c r="G266" t="s">
        <v>22</v>
      </c>
      <c r="H266" t="s">
        <v>22</v>
      </c>
      <c r="I266" t="s">
        <v>857</v>
      </c>
    </row>
    <row r="267" spans="1:9" ht="11.25" customHeight="1">
      <c r="A267" t="s">
        <v>2248</v>
      </c>
      <c r="B267" t="s">
        <v>16</v>
      </c>
      <c r="C267" t="s">
        <v>2972</v>
      </c>
      <c r="D267" t="s">
        <v>2973</v>
      </c>
      <c r="E267" t="s">
        <v>2974</v>
      </c>
      <c r="F267" t="s">
        <v>578</v>
      </c>
      <c r="G267" t="s">
        <v>2975</v>
      </c>
      <c r="H267" t="s">
        <v>2976</v>
      </c>
      <c r="I267" t="s">
        <v>857</v>
      </c>
    </row>
    <row r="268" spans="1:9" ht="11.25" customHeight="1">
      <c r="A268" t="s">
        <v>2248</v>
      </c>
      <c r="B268" t="s">
        <v>16</v>
      </c>
      <c r="C268" t="s">
        <v>2977</v>
      </c>
      <c r="D268" t="s">
        <v>2978</v>
      </c>
      <c r="E268" t="s">
        <v>2979</v>
      </c>
      <c r="F268" t="s">
        <v>578</v>
      </c>
      <c r="G268" t="s">
        <v>22</v>
      </c>
      <c r="H268" t="s">
        <v>22</v>
      </c>
      <c r="I268" t="s">
        <v>857</v>
      </c>
    </row>
    <row r="269" spans="1:9" ht="11.25" customHeight="1">
      <c r="A269" t="s">
        <v>2248</v>
      </c>
      <c r="B269" t="s">
        <v>16</v>
      </c>
      <c r="C269" t="s">
        <v>2328</v>
      </c>
      <c r="D269" t="s">
        <v>2329</v>
      </c>
      <c r="E269" t="s">
        <v>2330</v>
      </c>
      <c r="F269" t="s">
        <v>578</v>
      </c>
      <c r="G269" t="s">
        <v>2331</v>
      </c>
      <c r="H269" t="s">
        <v>22</v>
      </c>
      <c r="I269" t="s">
        <v>857</v>
      </c>
    </row>
    <row r="270" spans="1:9" ht="11.25" customHeight="1">
      <c r="A270" t="s">
        <v>2248</v>
      </c>
      <c r="B270" t="s">
        <v>16</v>
      </c>
      <c r="C270" t="s">
        <v>2332</v>
      </c>
      <c r="D270" t="s">
        <v>2333</v>
      </c>
      <c r="E270" t="s">
        <v>2334</v>
      </c>
      <c r="F270" t="s">
        <v>2335</v>
      </c>
      <c r="G270" t="s">
        <v>2336</v>
      </c>
      <c r="H270" t="s">
        <v>22</v>
      </c>
      <c r="I270" t="s">
        <v>857</v>
      </c>
    </row>
    <row r="271" spans="1:9" ht="11.25" customHeight="1">
      <c r="A271" t="s">
        <v>2248</v>
      </c>
      <c r="B271" t="s">
        <v>16</v>
      </c>
      <c r="C271" t="s">
        <v>2337</v>
      </c>
      <c r="D271" t="s">
        <v>2338</v>
      </c>
      <c r="E271" t="s">
        <v>2339</v>
      </c>
      <c r="F271" t="s">
        <v>2340</v>
      </c>
      <c r="G271" t="s">
        <v>22</v>
      </c>
      <c r="H271" t="s">
        <v>22</v>
      </c>
      <c r="I271" t="s">
        <v>857</v>
      </c>
    </row>
    <row r="272" spans="1:9" ht="11.25" customHeight="1">
      <c r="A272" t="s">
        <v>2248</v>
      </c>
      <c r="B272" t="s">
        <v>16</v>
      </c>
      <c r="C272" t="s">
        <v>2980</v>
      </c>
      <c r="D272" t="s">
        <v>2981</v>
      </c>
      <c r="E272" t="s">
        <v>2982</v>
      </c>
      <c r="F272" t="s">
        <v>2349</v>
      </c>
      <c r="G272" t="s">
        <v>2983</v>
      </c>
      <c r="H272" t="s">
        <v>22</v>
      </c>
      <c r="I272" t="s">
        <v>857</v>
      </c>
    </row>
    <row r="273" spans="1:9" ht="11.25" customHeight="1">
      <c r="A273" t="s">
        <v>2248</v>
      </c>
      <c r="B273" t="s">
        <v>16</v>
      </c>
      <c r="C273" t="s">
        <v>2984</v>
      </c>
      <c r="D273" t="s">
        <v>2985</v>
      </c>
      <c r="E273" t="s">
        <v>2986</v>
      </c>
      <c r="F273" t="s">
        <v>2580</v>
      </c>
      <c r="G273" t="s">
        <v>2987</v>
      </c>
      <c r="H273" t="s">
        <v>22</v>
      </c>
      <c r="I273" t="s">
        <v>857</v>
      </c>
    </row>
    <row r="274" spans="1:9" ht="11.25" customHeight="1">
      <c r="A274" t="s">
        <v>2248</v>
      </c>
      <c r="B274" t="s">
        <v>16</v>
      </c>
      <c r="C274" t="s">
        <v>2341</v>
      </c>
      <c r="D274" t="s">
        <v>2342</v>
      </c>
      <c r="E274" t="s">
        <v>2343</v>
      </c>
      <c r="F274" t="s">
        <v>2344</v>
      </c>
      <c r="G274" t="s">
        <v>2345</v>
      </c>
      <c r="H274" t="s">
        <v>22</v>
      </c>
      <c r="I274" t="s">
        <v>857</v>
      </c>
    </row>
    <row r="275" spans="1:9" ht="11.25" customHeight="1">
      <c r="A275" t="s">
        <v>2248</v>
      </c>
      <c r="B275" t="s">
        <v>16</v>
      </c>
      <c r="C275" t="s">
        <v>2346</v>
      </c>
      <c r="D275" t="s">
        <v>2347</v>
      </c>
      <c r="E275" t="s">
        <v>2348</v>
      </c>
      <c r="F275" t="s">
        <v>2349</v>
      </c>
      <c r="G275" t="s">
        <v>2350</v>
      </c>
      <c r="H275" t="s">
        <v>22</v>
      </c>
      <c r="I275" t="s">
        <v>857</v>
      </c>
    </row>
    <row r="276" spans="1:9" ht="11.25" customHeight="1">
      <c r="A276" t="s">
        <v>2248</v>
      </c>
      <c r="B276" t="s">
        <v>16</v>
      </c>
      <c r="C276" t="s">
        <v>2351</v>
      </c>
      <c r="D276" t="s">
        <v>2352</v>
      </c>
      <c r="E276" t="s">
        <v>2353</v>
      </c>
      <c r="F276" t="s">
        <v>2252</v>
      </c>
      <c r="G276" t="s">
        <v>2253</v>
      </c>
      <c r="H276" t="s">
        <v>22</v>
      </c>
      <c r="I276" t="s">
        <v>857</v>
      </c>
    </row>
    <row r="277" spans="1:9" ht="11.25" customHeight="1">
      <c r="A277" t="s">
        <v>2248</v>
      </c>
      <c r="B277" t="s">
        <v>16</v>
      </c>
      <c r="C277" t="s">
        <v>2988</v>
      </c>
      <c r="D277" t="s">
        <v>2989</v>
      </c>
      <c r="E277" t="s">
        <v>2990</v>
      </c>
      <c r="F277" t="s">
        <v>2349</v>
      </c>
      <c r="G277" t="s">
        <v>2991</v>
      </c>
      <c r="H277" t="s">
        <v>22</v>
      </c>
      <c r="I277" t="s">
        <v>857</v>
      </c>
    </row>
    <row r="278" spans="1:9" ht="11.25" customHeight="1">
      <c r="A278" t="s">
        <v>2248</v>
      </c>
      <c r="B278" t="s">
        <v>16</v>
      </c>
      <c r="C278" t="s">
        <v>2992</v>
      </c>
      <c r="D278" t="s">
        <v>2993</v>
      </c>
      <c r="E278" t="s">
        <v>2994</v>
      </c>
      <c r="F278" t="s">
        <v>51</v>
      </c>
      <c r="G278" t="s">
        <v>2995</v>
      </c>
      <c r="H278" t="s">
        <v>22</v>
      </c>
      <c r="I278" t="s">
        <v>857</v>
      </c>
    </row>
    <row r="279" spans="1:9" ht="11.25" customHeight="1">
      <c r="A279" t="s">
        <v>2248</v>
      </c>
      <c r="B279" t="s">
        <v>16</v>
      </c>
      <c r="C279" t="s">
        <v>2996</v>
      </c>
      <c r="D279" t="s">
        <v>2997</v>
      </c>
      <c r="E279" t="s">
        <v>2998</v>
      </c>
      <c r="F279" t="s">
        <v>51</v>
      </c>
      <c r="G279" t="s">
        <v>2999</v>
      </c>
      <c r="H279" t="s">
        <v>22</v>
      </c>
      <c r="I279" t="s">
        <v>857</v>
      </c>
    </row>
    <row r="280" spans="1:9" ht="11.25" customHeight="1">
      <c r="A280" t="s">
        <v>2248</v>
      </c>
      <c r="B280" t="s">
        <v>16</v>
      </c>
      <c r="C280" t="s">
        <v>3000</v>
      </c>
      <c r="D280" t="s">
        <v>3001</v>
      </c>
      <c r="E280" t="s">
        <v>3002</v>
      </c>
      <c r="F280" t="s">
        <v>2326</v>
      </c>
      <c r="G280" t="s">
        <v>3003</v>
      </c>
      <c r="H280" t="s">
        <v>3004</v>
      </c>
      <c r="I280" t="s">
        <v>857</v>
      </c>
    </row>
    <row r="281" spans="1:9" ht="11.25" customHeight="1">
      <c r="A281" t="s">
        <v>2248</v>
      </c>
      <c r="B281" t="s">
        <v>16</v>
      </c>
      <c r="C281" t="s">
        <v>2358</v>
      </c>
      <c r="D281" t="s">
        <v>2359</v>
      </c>
      <c r="E281" t="s">
        <v>2360</v>
      </c>
      <c r="F281" t="s">
        <v>2357</v>
      </c>
      <c r="G281" t="s">
        <v>2361</v>
      </c>
      <c r="H281" t="s">
        <v>22</v>
      </c>
      <c r="I281" t="s">
        <v>857</v>
      </c>
    </row>
    <row r="282" spans="1:9" ht="11.25" customHeight="1">
      <c r="A282" t="s">
        <v>2248</v>
      </c>
      <c r="B282" t="s">
        <v>16</v>
      </c>
      <c r="C282" t="s">
        <v>2362</v>
      </c>
      <c r="D282" t="s">
        <v>2363</v>
      </c>
      <c r="E282" t="s">
        <v>2364</v>
      </c>
      <c r="F282" t="s">
        <v>2357</v>
      </c>
      <c r="G282" t="s">
        <v>2361</v>
      </c>
      <c r="H282" t="s">
        <v>22</v>
      </c>
      <c r="I282" t="s">
        <v>857</v>
      </c>
    </row>
    <row r="283" spans="1:9" ht="11.25" customHeight="1">
      <c r="A283" t="s">
        <v>2248</v>
      </c>
      <c r="B283" t="s">
        <v>16</v>
      </c>
      <c r="C283" t="s">
        <v>3005</v>
      </c>
      <c r="D283" t="s">
        <v>3006</v>
      </c>
      <c r="E283" t="s">
        <v>3007</v>
      </c>
      <c r="F283" t="s">
        <v>2422</v>
      </c>
      <c r="G283" t="s">
        <v>3008</v>
      </c>
      <c r="H283" t="s">
        <v>22</v>
      </c>
      <c r="I283" t="s">
        <v>857</v>
      </c>
    </row>
    <row r="284" spans="1:9" ht="11.25" customHeight="1">
      <c r="A284" t="s">
        <v>2248</v>
      </c>
      <c r="B284" t="s">
        <v>16</v>
      </c>
      <c r="C284" t="s">
        <v>2370</v>
      </c>
      <c r="D284" t="s">
        <v>2371</v>
      </c>
      <c r="E284" t="s">
        <v>2372</v>
      </c>
      <c r="F284" t="s">
        <v>2373</v>
      </c>
      <c r="G284" t="s">
        <v>2374</v>
      </c>
      <c r="H284" t="s">
        <v>22</v>
      </c>
      <c r="I284" t="s">
        <v>857</v>
      </c>
    </row>
    <row r="285" spans="1:9" ht="11.25" customHeight="1">
      <c r="A285" t="s">
        <v>2248</v>
      </c>
      <c r="B285" t="s">
        <v>16</v>
      </c>
      <c r="C285" t="s">
        <v>2375</v>
      </c>
      <c r="D285" t="s">
        <v>2376</v>
      </c>
      <c r="E285" t="s">
        <v>2377</v>
      </c>
      <c r="F285" t="s">
        <v>2378</v>
      </c>
      <c r="G285" t="s">
        <v>2379</v>
      </c>
      <c r="H285" t="s">
        <v>22</v>
      </c>
      <c r="I285" t="s">
        <v>857</v>
      </c>
    </row>
    <row r="286" spans="1:9" ht="11.25" customHeight="1">
      <c r="A286" t="s">
        <v>2248</v>
      </c>
      <c r="B286" t="s">
        <v>16</v>
      </c>
      <c r="C286" t="s">
        <v>2380</v>
      </c>
      <c r="D286" t="s">
        <v>2381</v>
      </c>
      <c r="E286" t="s">
        <v>2382</v>
      </c>
      <c r="F286" t="s">
        <v>51</v>
      </c>
      <c r="G286" t="s">
        <v>2383</v>
      </c>
      <c r="H286" t="s">
        <v>22</v>
      </c>
      <c r="I286" t="s">
        <v>857</v>
      </c>
    </row>
    <row r="287" spans="1:9" ht="11.25" customHeight="1">
      <c r="A287" t="s">
        <v>2248</v>
      </c>
      <c r="B287" t="s">
        <v>16</v>
      </c>
      <c r="C287" t="s">
        <v>2388</v>
      </c>
      <c r="D287" t="s">
        <v>2389</v>
      </c>
      <c r="E287" t="s">
        <v>2390</v>
      </c>
      <c r="F287" t="s">
        <v>2378</v>
      </c>
      <c r="G287" t="s">
        <v>2391</v>
      </c>
      <c r="H287" t="s">
        <v>22</v>
      </c>
      <c r="I287" t="s">
        <v>857</v>
      </c>
    </row>
    <row r="288" spans="1:9" ht="11.25" customHeight="1">
      <c r="A288" t="s">
        <v>2248</v>
      </c>
      <c r="B288" t="s">
        <v>16</v>
      </c>
      <c r="C288" t="s">
        <v>2392</v>
      </c>
      <c r="D288" t="s">
        <v>2393</v>
      </c>
      <c r="E288" t="s">
        <v>2394</v>
      </c>
      <c r="F288" t="s">
        <v>2378</v>
      </c>
      <c r="G288" t="s">
        <v>2395</v>
      </c>
      <c r="H288" t="s">
        <v>22</v>
      </c>
      <c r="I288" t="s">
        <v>857</v>
      </c>
    </row>
    <row r="289" spans="1:9" ht="11.25" customHeight="1">
      <c r="A289" t="s">
        <v>2248</v>
      </c>
      <c r="B289" t="s">
        <v>16</v>
      </c>
      <c r="C289" t="s">
        <v>2396</v>
      </c>
      <c r="D289" t="s">
        <v>2397</v>
      </c>
      <c r="E289" t="s">
        <v>2398</v>
      </c>
      <c r="F289" t="s">
        <v>51</v>
      </c>
      <c r="G289" t="s">
        <v>2399</v>
      </c>
      <c r="H289" t="s">
        <v>22</v>
      </c>
      <c r="I289" t="s">
        <v>857</v>
      </c>
    </row>
    <row r="290" spans="1:9" ht="11.25" customHeight="1">
      <c r="A290" t="s">
        <v>2248</v>
      </c>
      <c r="B290" t="s">
        <v>16</v>
      </c>
      <c r="C290" t="s">
        <v>2400</v>
      </c>
      <c r="D290" t="s">
        <v>2401</v>
      </c>
      <c r="E290" t="s">
        <v>2402</v>
      </c>
      <c r="F290" t="s">
        <v>2378</v>
      </c>
      <c r="G290" t="s">
        <v>2391</v>
      </c>
      <c r="H290" t="s">
        <v>22</v>
      </c>
      <c r="I290" t="s">
        <v>857</v>
      </c>
    </row>
    <row r="291" spans="1:9" ht="11.25" customHeight="1">
      <c r="A291" t="s">
        <v>2248</v>
      </c>
      <c r="B291" t="s">
        <v>16</v>
      </c>
      <c r="C291" t="s">
        <v>2403</v>
      </c>
      <c r="D291" t="s">
        <v>2404</v>
      </c>
      <c r="E291" t="s">
        <v>2405</v>
      </c>
      <c r="F291" t="s">
        <v>2378</v>
      </c>
      <c r="G291" t="s">
        <v>2406</v>
      </c>
      <c r="H291" t="s">
        <v>22</v>
      </c>
      <c r="I291" t="s">
        <v>857</v>
      </c>
    </row>
    <row r="292" spans="1:9" ht="11.25" customHeight="1">
      <c r="A292" t="s">
        <v>2248</v>
      </c>
      <c r="B292" t="s">
        <v>16</v>
      </c>
      <c r="C292" t="s">
        <v>2407</v>
      </c>
      <c r="D292" t="s">
        <v>2408</v>
      </c>
      <c r="E292" t="s">
        <v>2409</v>
      </c>
      <c r="F292" t="s">
        <v>2252</v>
      </c>
      <c r="G292" t="s">
        <v>2410</v>
      </c>
      <c r="H292" t="s">
        <v>22</v>
      </c>
      <c r="I292" t="s">
        <v>857</v>
      </c>
    </row>
    <row r="293" spans="1:9" ht="11.25" customHeight="1">
      <c r="A293" t="s">
        <v>2248</v>
      </c>
      <c r="B293" t="s">
        <v>16</v>
      </c>
      <c r="C293" t="s">
        <v>2411</v>
      </c>
      <c r="D293" t="s">
        <v>2412</v>
      </c>
      <c r="E293" t="s">
        <v>2413</v>
      </c>
      <c r="F293" t="s">
        <v>2252</v>
      </c>
      <c r="G293" t="s">
        <v>2414</v>
      </c>
      <c r="H293" t="s">
        <v>22</v>
      </c>
      <c r="I293" t="s">
        <v>857</v>
      </c>
    </row>
    <row r="294" spans="1:9" ht="11.25" customHeight="1">
      <c r="A294" t="s">
        <v>2248</v>
      </c>
      <c r="B294" t="s">
        <v>16</v>
      </c>
      <c r="C294" t="s">
        <v>2415</v>
      </c>
      <c r="D294" t="s">
        <v>2416</v>
      </c>
      <c r="E294" t="s">
        <v>2417</v>
      </c>
      <c r="F294" t="s">
        <v>51</v>
      </c>
      <c r="G294" t="s">
        <v>2418</v>
      </c>
      <c r="H294" t="s">
        <v>22</v>
      </c>
      <c r="I294" t="s">
        <v>857</v>
      </c>
    </row>
    <row r="295" spans="1:9" ht="11.25" customHeight="1">
      <c r="A295" t="s">
        <v>2248</v>
      </c>
      <c r="B295" t="s">
        <v>16</v>
      </c>
      <c r="C295" t="s">
        <v>3009</v>
      </c>
      <c r="D295" t="s">
        <v>3010</v>
      </c>
      <c r="E295" t="s">
        <v>3011</v>
      </c>
      <c r="F295" t="s">
        <v>2703</v>
      </c>
      <c r="G295" t="s">
        <v>22</v>
      </c>
      <c r="H295" t="s">
        <v>22</v>
      </c>
      <c r="I295" t="s">
        <v>857</v>
      </c>
    </row>
    <row r="296" spans="1:9" ht="11.25" customHeight="1">
      <c r="A296" t="s">
        <v>2248</v>
      </c>
      <c r="B296" t="s">
        <v>16</v>
      </c>
      <c r="C296" t="s">
        <v>2419</v>
      </c>
      <c r="D296" t="s">
        <v>2420</v>
      </c>
      <c r="E296" t="s">
        <v>2421</v>
      </c>
      <c r="F296" t="s">
        <v>2422</v>
      </c>
      <c r="G296" t="s">
        <v>2423</v>
      </c>
      <c r="H296" t="s">
        <v>22</v>
      </c>
      <c r="I296" t="s">
        <v>857</v>
      </c>
    </row>
    <row r="297" spans="1:9" ht="11.25" customHeight="1">
      <c r="A297" t="s">
        <v>2248</v>
      </c>
      <c r="B297" t="s">
        <v>16</v>
      </c>
      <c r="C297" t="s">
        <v>2424</v>
      </c>
      <c r="D297" t="s">
        <v>2425</v>
      </c>
      <c r="E297" t="s">
        <v>2426</v>
      </c>
      <c r="F297" t="s">
        <v>2368</v>
      </c>
      <c r="G297" t="s">
        <v>2427</v>
      </c>
      <c r="H297" t="s">
        <v>22</v>
      </c>
      <c r="I297" t="s">
        <v>857</v>
      </c>
    </row>
    <row r="298" spans="1:9" ht="11.25" customHeight="1">
      <c r="A298" t="s">
        <v>2248</v>
      </c>
      <c r="B298" t="s">
        <v>16</v>
      </c>
      <c r="C298" t="s">
        <v>2428</v>
      </c>
      <c r="D298" t="s">
        <v>2429</v>
      </c>
      <c r="E298" t="s">
        <v>2430</v>
      </c>
      <c r="F298" t="s">
        <v>2252</v>
      </c>
      <c r="G298" t="s">
        <v>2431</v>
      </c>
      <c r="H298" t="s">
        <v>22</v>
      </c>
      <c r="I298" t="s">
        <v>857</v>
      </c>
    </row>
    <row r="299" spans="1:9" ht="11.25" customHeight="1">
      <c r="A299" t="s">
        <v>2248</v>
      </c>
      <c r="B299" t="s">
        <v>16</v>
      </c>
      <c r="C299" t="s">
        <v>2432</v>
      </c>
      <c r="D299" t="s">
        <v>2433</v>
      </c>
      <c r="E299" t="s">
        <v>2434</v>
      </c>
      <c r="F299" t="s">
        <v>2252</v>
      </c>
      <c r="G299" t="s">
        <v>2410</v>
      </c>
      <c r="H299" t="s">
        <v>22</v>
      </c>
      <c r="I299" t="s">
        <v>857</v>
      </c>
    </row>
    <row r="300" spans="1:9" ht="11.25" customHeight="1">
      <c r="A300" t="s">
        <v>2248</v>
      </c>
      <c r="B300" t="s">
        <v>16</v>
      </c>
      <c r="C300" t="s">
        <v>2439</v>
      </c>
      <c r="D300" t="s">
        <v>2440</v>
      </c>
      <c r="E300" t="s">
        <v>2441</v>
      </c>
      <c r="F300" t="s">
        <v>51</v>
      </c>
      <c r="G300" t="s">
        <v>2442</v>
      </c>
      <c r="H300" t="s">
        <v>22</v>
      </c>
      <c r="I300" t="s">
        <v>857</v>
      </c>
    </row>
    <row r="301" spans="1:9" ht="11.25" customHeight="1">
      <c r="A301" t="s">
        <v>2248</v>
      </c>
      <c r="B301" t="s">
        <v>16</v>
      </c>
      <c r="C301" t="s">
        <v>2443</v>
      </c>
      <c r="D301" t="s">
        <v>2444</v>
      </c>
      <c r="E301" t="s">
        <v>2445</v>
      </c>
      <c r="F301" t="s">
        <v>2446</v>
      </c>
      <c r="G301" t="s">
        <v>2447</v>
      </c>
      <c r="H301" t="s">
        <v>22</v>
      </c>
      <c r="I301" t="s">
        <v>857</v>
      </c>
    </row>
    <row r="302" spans="1:9" ht="11.25" customHeight="1">
      <c r="A302" t="s">
        <v>2248</v>
      </c>
      <c r="B302" t="s">
        <v>16</v>
      </c>
      <c r="C302" t="s">
        <v>2448</v>
      </c>
      <c r="D302" t="s">
        <v>2449</v>
      </c>
      <c r="E302" t="s">
        <v>2450</v>
      </c>
      <c r="F302" t="s">
        <v>51</v>
      </c>
      <c r="G302" t="s">
        <v>2451</v>
      </c>
      <c r="H302" t="s">
        <v>22</v>
      </c>
      <c r="I302" t="s">
        <v>857</v>
      </c>
    </row>
    <row r="303" spans="1:9" ht="11.25" customHeight="1">
      <c r="A303" t="s">
        <v>2248</v>
      </c>
      <c r="B303" t="s">
        <v>16</v>
      </c>
      <c r="C303" t="s">
        <v>2452</v>
      </c>
      <c r="D303" t="s">
        <v>2453</v>
      </c>
      <c r="E303" t="s">
        <v>2454</v>
      </c>
      <c r="F303" t="s">
        <v>2357</v>
      </c>
      <c r="G303" t="s">
        <v>2361</v>
      </c>
      <c r="H303" t="s">
        <v>22</v>
      </c>
      <c r="I303" t="s">
        <v>857</v>
      </c>
    </row>
    <row r="304" spans="1:9" ht="11.25" customHeight="1">
      <c r="A304" t="s">
        <v>2248</v>
      </c>
      <c r="B304" t="s">
        <v>16</v>
      </c>
      <c r="C304" t="s">
        <v>3012</v>
      </c>
      <c r="D304" t="s">
        <v>3013</v>
      </c>
      <c r="E304" t="s">
        <v>3014</v>
      </c>
      <c r="F304" t="s">
        <v>2357</v>
      </c>
      <c r="G304" t="s">
        <v>3015</v>
      </c>
      <c r="H304" t="s">
        <v>22</v>
      </c>
      <c r="I304" t="s">
        <v>857</v>
      </c>
    </row>
    <row r="305" spans="1:9" ht="11.25" customHeight="1">
      <c r="A305" t="s">
        <v>2248</v>
      </c>
      <c r="B305" t="s">
        <v>16</v>
      </c>
      <c r="C305" t="s">
        <v>2455</v>
      </c>
      <c r="D305" t="s">
        <v>2456</v>
      </c>
      <c r="E305" t="s">
        <v>2457</v>
      </c>
      <c r="F305" t="s">
        <v>51</v>
      </c>
      <c r="G305" t="s">
        <v>2458</v>
      </c>
      <c r="H305" t="s">
        <v>22</v>
      </c>
      <c r="I305" t="s">
        <v>857</v>
      </c>
    </row>
    <row r="306" spans="1:9" ht="11.25" customHeight="1">
      <c r="A306" t="s">
        <v>2248</v>
      </c>
      <c r="B306" t="s">
        <v>16</v>
      </c>
      <c r="C306" t="s">
        <v>2459</v>
      </c>
      <c r="D306" t="s">
        <v>2460</v>
      </c>
      <c r="E306" t="s">
        <v>2461</v>
      </c>
      <c r="F306" t="s">
        <v>51</v>
      </c>
      <c r="G306" t="s">
        <v>2462</v>
      </c>
      <c r="H306" t="s">
        <v>22</v>
      </c>
      <c r="I306" t="s">
        <v>857</v>
      </c>
    </row>
    <row r="307" spans="1:9" ht="11.25" customHeight="1">
      <c r="A307" t="s">
        <v>2248</v>
      </c>
      <c r="B307" t="s">
        <v>16</v>
      </c>
      <c r="C307" t="s">
        <v>2463</v>
      </c>
      <c r="D307" t="s">
        <v>2464</v>
      </c>
      <c r="E307" t="s">
        <v>2465</v>
      </c>
      <c r="F307" t="s">
        <v>51</v>
      </c>
      <c r="G307" t="s">
        <v>2466</v>
      </c>
      <c r="H307" t="s">
        <v>22</v>
      </c>
      <c r="I307" t="s">
        <v>857</v>
      </c>
    </row>
    <row r="308" spans="1:9" ht="11.25" customHeight="1">
      <c r="A308" t="s">
        <v>2248</v>
      </c>
      <c r="B308" t="s">
        <v>16</v>
      </c>
      <c r="C308" t="s">
        <v>2470</v>
      </c>
      <c r="D308" t="s">
        <v>2471</v>
      </c>
      <c r="E308" t="s">
        <v>2472</v>
      </c>
      <c r="F308" t="s">
        <v>2473</v>
      </c>
      <c r="G308" t="s">
        <v>2474</v>
      </c>
      <c r="H308" t="s">
        <v>22</v>
      </c>
      <c r="I308" t="s">
        <v>857</v>
      </c>
    </row>
    <row r="309" spans="1:9" ht="11.25" customHeight="1">
      <c r="A309" t="s">
        <v>2248</v>
      </c>
      <c r="B309" t="s">
        <v>16</v>
      </c>
      <c r="C309" t="s">
        <v>2475</v>
      </c>
      <c r="D309" t="s">
        <v>2476</v>
      </c>
      <c r="E309" t="s">
        <v>2477</v>
      </c>
      <c r="F309" t="s">
        <v>51</v>
      </c>
      <c r="G309" t="s">
        <v>2478</v>
      </c>
      <c r="H309" t="s">
        <v>22</v>
      </c>
      <c r="I309" t="s">
        <v>857</v>
      </c>
    </row>
    <row r="310" spans="1:9" ht="11.25" customHeight="1">
      <c r="A310" t="s">
        <v>2248</v>
      </c>
      <c r="B310" t="s">
        <v>16</v>
      </c>
      <c r="C310" t="s">
        <v>2479</v>
      </c>
      <c r="D310" t="s">
        <v>2480</v>
      </c>
      <c r="E310" t="s">
        <v>2481</v>
      </c>
      <c r="F310" t="s">
        <v>2422</v>
      </c>
      <c r="G310" t="s">
        <v>22</v>
      </c>
      <c r="H310" t="s">
        <v>22</v>
      </c>
      <c r="I310" t="s">
        <v>857</v>
      </c>
    </row>
    <row r="311" spans="1:9" ht="11.25" customHeight="1">
      <c r="A311" t="s">
        <v>2248</v>
      </c>
      <c r="B311" t="s">
        <v>16</v>
      </c>
      <c r="C311" t="s">
        <v>3016</v>
      </c>
      <c r="D311" t="s">
        <v>3017</v>
      </c>
      <c r="E311" t="s">
        <v>3018</v>
      </c>
      <c r="F311" t="s">
        <v>2446</v>
      </c>
      <c r="G311" t="s">
        <v>3019</v>
      </c>
      <c r="H311" t="s">
        <v>22</v>
      </c>
      <c r="I311" t="s">
        <v>857</v>
      </c>
    </row>
    <row r="312" spans="1:9" ht="11.25" customHeight="1">
      <c r="A312" t="s">
        <v>2248</v>
      </c>
      <c r="B312" t="s">
        <v>16</v>
      </c>
      <c r="C312" t="s">
        <v>2485</v>
      </c>
      <c r="D312" t="s">
        <v>2486</v>
      </c>
      <c r="E312" t="s">
        <v>2487</v>
      </c>
      <c r="F312" t="s">
        <v>51</v>
      </c>
      <c r="G312" t="s">
        <v>2488</v>
      </c>
      <c r="H312" t="s">
        <v>22</v>
      </c>
      <c r="I312" t="s">
        <v>857</v>
      </c>
    </row>
    <row r="313" spans="1:9" ht="11.25" customHeight="1">
      <c r="A313" t="s">
        <v>2248</v>
      </c>
      <c r="B313" t="s">
        <v>16</v>
      </c>
      <c r="C313" t="s">
        <v>2489</v>
      </c>
      <c r="D313" t="s">
        <v>2490</v>
      </c>
      <c r="E313" t="s">
        <v>2491</v>
      </c>
      <c r="F313" t="s">
        <v>51</v>
      </c>
      <c r="G313" t="s">
        <v>2492</v>
      </c>
      <c r="H313" t="s">
        <v>22</v>
      </c>
      <c r="I313" t="s">
        <v>857</v>
      </c>
    </row>
    <row r="314" spans="1:9" ht="11.25" customHeight="1">
      <c r="A314" t="s">
        <v>2248</v>
      </c>
      <c r="B314" t="s">
        <v>16</v>
      </c>
      <c r="C314" t="s">
        <v>2493</v>
      </c>
      <c r="D314" t="s">
        <v>2494</v>
      </c>
      <c r="E314" t="s">
        <v>2495</v>
      </c>
      <c r="F314" t="s">
        <v>2422</v>
      </c>
      <c r="G314" t="s">
        <v>2496</v>
      </c>
      <c r="H314" t="s">
        <v>22</v>
      </c>
      <c r="I314" t="s">
        <v>857</v>
      </c>
    </row>
    <row r="315" spans="1:9" ht="11.25" customHeight="1">
      <c r="A315" t="s">
        <v>2248</v>
      </c>
      <c r="B315" t="s">
        <v>16</v>
      </c>
      <c r="C315" t="s">
        <v>2500</v>
      </c>
      <c r="D315" t="s">
        <v>2501</v>
      </c>
      <c r="E315" t="s">
        <v>2502</v>
      </c>
      <c r="F315" t="s">
        <v>2503</v>
      </c>
      <c r="G315" t="s">
        <v>2504</v>
      </c>
      <c r="H315" t="s">
        <v>22</v>
      </c>
      <c r="I315" t="s">
        <v>857</v>
      </c>
    </row>
    <row r="316" spans="1:9" ht="11.25" customHeight="1">
      <c r="A316" t="s">
        <v>2248</v>
      </c>
      <c r="B316" t="s">
        <v>16</v>
      </c>
      <c r="C316" t="s">
        <v>2508</v>
      </c>
      <c r="D316" t="s">
        <v>2509</v>
      </c>
      <c r="E316" t="s">
        <v>2510</v>
      </c>
      <c r="F316" t="s">
        <v>2349</v>
      </c>
      <c r="G316" t="s">
        <v>2511</v>
      </c>
      <c r="H316" t="s">
        <v>22</v>
      </c>
      <c r="I316" t="s">
        <v>857</v>
      </c>
    </row>
    <row r="317" spans="1:9" ht="11.25" customHeight="1">
      <c r="A317" t="s">
        <v>2248</v>
      </c>
      <c r="B317" t="s">
        <v>16</v>
      </c>
      <c r="C317" t="s">
        <v>2512</v>
      </c>
      <c r="D317" t="s">
        <v>2513</v>
      </c>
      <c r="E317" t="s">
        <v>2514</v>
      </c>
      <c r="F317" t="s">
        <v>2349</v>
      </c>
      <c r="G317" t="s">
        <v>2515</v>
      </c>
      <c r="H317" t="s">
        <v>22</v>
      </c>
      <c r="I317" t="s">
        <v>857</v>
      </c>
    </row>
    <row r="318" spans="1:9" ht="11.25" customHeight="1">
      <c r="A318" t="s">
        <v>2248</v>
      </c>
      <c r="B318" t="s">
        <v>16</v>
      </c>
      <c r="C318" t="s">
        <v>2516</v>
      </c>
      <c r="D318" t="s">
        <v>2517</v>
      </c>
      <c r="E318" t="s">
        <v>2518</v>
      </c>
      <c r="F318" t="s">
        <v>2349</v>
      </c>
      <c r="G318" t="s">
        <v>2519</v>
      </c>
      <c r="H318" t="s">
        <v>22</v>
      </c>
      <c r="I318" t="s">
        <v>857</v>
      </c>
    </row>
    <row r="319" spans="1:9" ht="11.25" customHeight="1">
      <c r="A319" t="s">
        <v>2248</v>
      </c>
      <c r="B319" t="s">
        <v>16</v>
      </c>
      <c r="C319" t="s">
        <v>2520</v>
      </c>
      <c r="D319" t="s">
        <v>2521</v>
      </c>
      <c r="E319" t="s">
        <v>2522</v>
      </c>
      <c r="F319" t="s">
        <v>51</v>
      </c>
      <c r="G319" t="s">
        <v>2523</v>
      </c>
      <c r="H319" t="s">
        <v>22</v>
      </c>
      <c r="I319" t="s">
        <v>857</v>
      </c>
    </row>
    <row r="320" spans="1:9" ht="11.25" customHeight="1">
      <c r="A320" t="s">
        <v>2248</v>
      </c>
      <c r="B320" t="s">
        <v>16</v>
      </c>
      <c r="C320" t="s">
        <v>2532</v>
      </c>
      <c r="D320" t="s">
        <v>2533</v>
      </c>
      <c r="E320" t="s">
        <v>2534</v>
      </c>
      <c r="F320" t="s">
        <v>2357</v>
      </c>
      <c r="G320" t="s">
        <v>2361</v>
      </c>
      <c r="H320" t="s">
        <v>22</v>
      </c>
      <c r="I320" t="s">
        <v>857</v>
      </c>
    </row>
    <row r="321" spans="1:9" ht="11.25" customHeight="1">
      <c r="A321" t="s">
        <v>2248</v>
      </c>
      <c r="B321" t="s">
        <v>16</v>
      </c>
      <c r="C321" t="s">
        <v>3020</v>
      </c>
      <c r="D321" t="s">
        <v>3021</v>
      </c>
      <c r="E321" t="s">
        <v>3022</v>
      </c>
      <c r="F321" t="s">
        <v>2357</v>
      </c>
      <c r="G321" t="s">
        <v>3023</v>
      </c>
      <c r="H321" t="s">
        <v>22</v>
      </c>
      <c r="I321" t="s">
        <v>857</v>
      </c>
    </row>
    <row r="322" spans="1:9" ht="11.25" customHeight="1">
      <c r="A322" t="s">
        <v>2248</v>
      </c>
      <c r="B322" t="s">
        <v>16</v>
      </c>
      <c r="C322" t="s">
        <v>2545</v>
      </c>
      <c r="D322" t="s">
        <v>2546</v>
      </c>
      <c r="E322" t="s">
        <v>2547</v>
      </c>
      <c r="F322" t="s">
        <v>51</v>
      </c>
      <c r="G322" t="s">
        <v>2548</v>
      </c>
      <c r="H322" t="s">
        <v>22</v>
      </c>
      <c r="I322" t="s">
        <v>857</v>
      </c>
    </row>
    <row r="323" spans="1:9" ht="11.25" customHeight="1">
      <c r="A323" t="s">
        <v>2248</v>
      </c>
      <c r="B323" t="s">
        <v>16</v>
      </c>
      <c r="C323" t="s">
        <v>2549</v>
      </c>
      <c r="D323" t="s">
        <v>2550</v>
      </c>
      <c r="E323" t="s">
        <v>2551</v>
      </c>
      <c r="F323" t="s">
        <v>51</v>
      </c>
      <c r="G323" t="s">
        <v>2552</v>
      </c>
      <c r="H323" t="s">
        <v>22</v>
      </c>
      <c r="I323" t="s">
        <v>857</v>
      </c>
    </row>
    <row r="324" spans="1:9" ht="11.25" customHeight="1">
      <c r="A324" t="s">
        <v>2248</v>
      </c>
      <c r="B324" t="s">
        <v>16</v>
      </c>
      <c r="C324" t="s">
        <v>2553</v>
      </c>
      <c r="D324" t="s">
        <v>2554</v>
      </c>
      <c r="E324" t="s">
        <v>2555</v>
      </c>
      <c r="F324" t="s">
        <v>2378</v>
      </c>
      <c r="G324" t="s">
        <v>2556</v>
      </c>
      <c r="H324" t="s">
        <v>22</v>
      </c>
      <c r="I324" t="s">
        <v>857</v>
      </c>
    </row>
    <row r="325" spans="1:9" ht="11.25" customHeight="1">
      <c r="A325" t="s">
        <v>2248</v>
      </c>
      <c r="B325" t="s">
        <v>16</v>
      </c>
      <c r="C325" t="s">
        <v>2557</v>
      </c>
      <c r="D325" t="s">
        <v>2558</v>
      </c>
      <c r="E325" t="s">
        <v>2559</v>
      </c>
      <c r="F325" t="s">
        <v>2357</v>
      </c>
      <c r="G325" t="s">
        <v>2560</v>
      </c>
      <c r="H325" t="s">
        <v>22</v>
      </c>
      <c r="I325" t="s">
        <v>857</v>
      </c>
    </row>
    <row r="326" spans="1:9" ht="11.25" customHeight="1">
      <c r="A326" t="s">
        <v>2248</v>
      </c>
      <c r="B326" t="s">
        <v>16</v>
      </c>
      <c r="C326" t="s">
        <v>2561</v>
      </c>
      <c r="D326" t="s">
        <v>2562</v>
      </c>
      <c r="E326" t="s">
        <v>2563</v>
      </c>
      <c r="F326" t="s">
        <v>2564</v>
      </c>
      <c r="G326" t="s">
        <v>2565</v>
      </c>
      <c r="H326" t="s">
        <v>22</v>
      </c>
      <c r="I326" t="s">
        <v>857</v>
      </c>
    </row>
    <row r="327" spans="1:9" ht="11.25" customHeight="1">
      <c r="A327" t="s">
        <v>2248</v>
      </c>
      <c r="B327" t="s">
        <v>16</v>
      </c>
      <c r="C327" t="s">
        <v>3024</v>
      </c>
      <c r="D327" t="s">
        <v>3025</v>
      </c>
      <c r="E327" t="s">
        <v>2943</v>
      </c>
      <c r="F327" t="s">
        <v>3026</v>
      </c>
      <c r="G327" t="s">
        <v>22</v>
      </c>
      <c r="H327" t="s">
        <v>22</v>
      </c>
      <c r="I327" t="s">
        <v>857</v>
      </c>
    </row>
    <row r="328" spans="1:9" ht="11.25" customHeight="1">
      <c r="A328" t="s">
        <v>2248</v>
      </c>
      <c r="B328" t="s">
        <v>16</v>
      </c>
      <c r="C328" t="s">
        <v>3027</v>
      </c>
      <c r="D328" t="s">
        <v>3028</v>
      </c>
      <c r="E328" t="s">
        <v>3029</v>
      </c>
      <c r="F328" t="s">
        <v>2326</v>
      </c>
      <c r="G328" t="s">
        <v>3030</v>
      </c>
      <c r="H328" t="s">
        <v>22</v>
      </c>
      <c r="I328" t="s">
        <v>857</v>
      </c>
    </row>
    <row r="329" spans="1:9" ht="11.25" customHeight="1">
      <c r="A329" t="s">
        <v>2248</v>
      </c>
      <c r="B329" t="s">
        <v>16</v>
      </c>
      <c r="C329" t="s">
        <v>2577</v>
      </c>
      <c r="D329" t="s">
        <v>2578</v>
      </c>
      <c r="E329" t="s">
        <v>2579</v>
      </c>
      <c r="F329" t="s">
        <v>2580</v>
      </c>
      <c r="G329" t="s">
        <v>2581</v>
      </c>
      <c r="H329" t="s">
        <v>22</v>
      </c>
      <c r="I329" t="s">
        <v>857</v>
      </c>
    </row>
    <row r="330" spans="1:9" ht="11.25" customHeight="1">
      <c r="A330" t="s">
        <v>2248</v>
      </c>
      <c r="B330" t="s">
        <v>16</v>
      </c>
      <c r="C330" t="s">
        <v>2582</v>
      </c>
      <c r="D330" t="s">
        <v>2583</v>
      </c>
      <c r="E330" t="s">
        <v>2584</v>
      </c>
      <c r="F330" t="s">
        <v>2580</v>
      </c>
      <c r="G330" t="s">
        <v>2585</v>
      </c>
      <c r="H330" t="s">
        <v>22</v>
      </c>
      <c r="I330" t="s">
        <v>857</v>
      </c>
    </row>
    <row r="331" spans="1:9" ht="11.25" customHeight="1">
      <c r="A331" t="s">
        <v>2248</v>
      </c>
      <c r="B331" t="s">
        <v>16</v>
      </c>
      <c r="C331" t="s">
        <v>3031</v>
      </c>
      <c r="D331" t="s">
        <v>3032</v>
      </c>
      <c r="E331" t="s">
        <v>3033</v>
      </c>
      <c r="F331" t="s">
        <v>2564</v>
      </c>
      <c r="G331" t="s">
        <v>3034</v>
      </c>
      <c r="H331" t="s">
        <v>22</v>
      </c>
      <c r="I331" t="s">
        <v>857</v>
      </c>
    </row>
    <row r="332" spans="1:9" ht="11.25" customHeight="1">
      <c r="A332" t="s">
        <v>2248</v>
      </c>
      <c r="B332" t="s">
        <v>16</v>
      </c>
      <c r="C332" t="s">
        <v>2590</v>
      </c>
      <c r="D332" t="s">
        <v>2591</v>
      </c>
      <c r="E332" t="s">
        <v>2592</v>
      </c>
      <c r="F332" t="s">
        <v>2357</v>
      </c>
      <c r="G332" t="s">
        <v>22</v>
      </c>
      <c r="H332" t="s">
        <v>22</v>
      </c>
      <c r="I332" t="s">
        <v>857</v>
      </c>
    </row>
    <row r="333" spans="1:9" ht="11.25" customHeight="1">
      <c r="A333" t="s">
        <v>2248</v>
      </c>
      <c r="B333" t="s">
        <v>16</v>
      </c>
      <c r="C333" t="s">
        <v>2593</v>
      </c>
      <c r="D333" t="s">
        <v>2594</v>
      </c>
      <c r="E333" t="s">
        <v>2595</v>
      </c>
      <c r="F333" t="s">
        <v>2257</v>
      </c>
      <c r="G333" t="s">
        <v>2596</v>
      </c>
      <c r="H333" t="s">
        <v>22</v>
      </c>
      <c r="I333" t="s">
        <v>857</v>
      </c>
    </row>
    <row r="334" spans="1:9" ht="11.25" customHeight="1">
      <c r="A334" t="s">
        <v>2248</v>
      </c>
      <c r="B334" t="s">
        <v>16</v>
      </c>
      <c r="C334" t="s">
        <v>3035</v>
      </c>
      <c r="D334" t="s">
        <v>3036</v>
      </c>
      <c r="E334" t="s">
        <v>3037</v>
      </c>
      <c r="F334" t="s">
        <v>2357</v>
      </c>
      <c r="G334" t="s">
        <v>22</v>
      </c>
      <c r="H334" t="s">
        <v>22</v>
      </c>
      <c r="I334" t="s">
        <v>857</v>
      </c>
    </row>
    <row r="335" spans="1:9" ht="11.25" customHeight="1">
      <c r="A335" t="s">
        <v>2248</v>
      </c>
      <c r="B335" t="s">
        <v>16</v>
      </c>
      <c r="C335" t="s">
        <v>2597</v>
      </c>
      <c r="D335" t="s">
        <v>2598</v>
      </c>
      <c r="E335" t="s">
        <v>2599</v>
      </c>
      <c r="F335" t="s">
        <v>2326</v>
      </c>
      <c r="G335" t="s">
        <v>2600</v>
      </c>
      <c r="H335" t="s">
        <v>22</v>
      </c>
      <c r="I335" t="s">
        <v>857</v>
      </c>
    </row>
    <row r="336" spans="1:9" ht="11.25" customHeight="1">
      <c r="A336" t="s">
        <v>2248</v>
      </c>
      <c r="B336" t="s">
        <v>16</v>
      </c>
      <c r="C336" t="s">
        <v>2601</v>
      </c>
      <c r="D336" t="s">
        <v>2602</v>
      </c>
      <c r="E336" t="s">
        <v>2603</v>
      </c>
      <c r="F336" t="s">
        <v>51</v>
      </c>
      <c r="G336" t="s">
        <v>2604</v>
      </c>
      <c r="H336" t="s">
        <v>22</v>
      </c>
      <c r="I336" t="s">
        <v>857</v>
      </c>
    </row>
    <row r="337" spans="1:9" ht="11.25" customHeight="1">
      <c r="A337" t="s">
        <v>2248</v>
      </c>
      <c r="B337" t="s">
        <v>16</v>
      </c>
      <c r="C337" t="s">
        <v>3038</v>
      </c>
      <c r="D337" t="s">
        <v>3039</v>
      </c>
      <c r="E337" t="s">
        <v>3040</v>
      </c>
      <c r="F337" t="s">
        <v>2257</v>
      </c>
      <c r="G337" t="s">
        <v>3041</v>
      </c>
      <c r="H337" t="s">
        <v>3042</v>
      </c>
      <c r="I337" t="s">
        <v>857</v>
      </c>
    </row>
    <row r="338" spans="1:9" ht="11.25" customHeight="1">
      <c r="A338" t="s">
        <v>2248</v>
      </c>
      <c r="B338" t="s">
        <v>16</v>
      </c>
      <c r="C338" t="s">
        <v>3043</v>
      </c>
      <c r="D338" t="s">
        <v>3044</v>
      </c>
      <c r="E338" t="s">
        <v>3045</v>
      </c>
      <c r="F338" t="s">
        <v>2283</v>
      </c>
      <c r="G338" t="s">
        <v>3046</v>
      </c>
      <c r="H338" t="s">
        <v>22</v>
      </c>
      <c r="I338" t="s">
        <v>857</v>
      </c>
    </row>
    <row r="339" spans="1:9" ht="11.25" customHeight="1">
      <c r="A339" t="s">
        <v>2248</v>
      </c>
      <c r="B339" t="s">
        <v>16</v>
      </c>
      <c r="C339" t="s">
        <v>3047</v>
      </c>
      <c r="D339" t="s">
        <v>3048</v>
      </c>
      <c r="E339" t="s">
        <v>3049</v>
      </c>
      <c r="F339" t="s">
        <v>2257</v>
      </c>
      <c r="G339" t="s">
        <v>22</v>
      </c>
      <c r="H339" t="s">
        <v>22</v>
      </c>
      <c r="I339" t="s">
        <v>857</v>
      </c>
    </row>
    <row r="340" spans="1:9" ht="11.25" customHeight="1">
      <c r="A340" t="s">
        <v>2248</v>
      </c>
      <c r="B340" t="s">
        <v>16</v>
      </c>
      <c r="C340" t="s">
        <v>3050</v>
      </c>
      <c r="D340" t="s">
        <v>3051</v>
      </c>
      <c r="E340" t="s">
        <v>3052</v>
      </c>
      <c r="F340" t="s">
        <v>2368</v>
      </c>
      <c r="G340" t="s">
        <v>3053</v>
      </c>
      <c r="H340" t="s">
        <v>22</v>
      </c>
      <c r="I340" t="s">
        <v>857</v>
      </c>
    </row>
    <row r="341" spans="1:9" ht="11.25" customHeight="1">
      <c r="A341" t="s">
        <v>2248</v>
      </c>
      <c r="B341" t="s">
        <v>16</v>
      </c>
      <c r="C341" t="s">
        <v>3054</v>
      </c>
      <c r="D341" t="s">
        <v>3055</v>
      </c>
      <c r="E341" t="s">
        <v>3056</v>
      </c>
      <c r="F341" t="s">
        <v>2446</v>
      </c>
      <c r="G341" t="s">
        <v>2721</v>
      </c>
      <c r="H341" t="s">
        <v>22</v>
      </c>
      <c r="I341" t="s">
        <v>857</v>
      </c>
    </row>
    <row r="342" spans="1:9" ht="11.25" customHeight="1">
      <c r="A342" t="s">
        <v>2248</v>
      </c>
      <c r="B342" t="s">
        <v>16</v>
      </c>
      <c r="C342" t="s">
        <v>3057</v>
      </c>
      <c r="D342" t="s">
        <v>3058</v>
      </c>
      <c r="E342" t="s">
        <v>3059</v>
      </c>
      <c r="F342" t="s">
        <v>51</v>
      </c>
      <c r="G342" t="s">
        <v>2605</v>
      </c>
      <c r="H342" t="s">
        <v>22</v>
      </c>
      <c r="I342" t="s">
        <v>857</v>
      </c>
    </row>
    <row r="343" spans="1:9" ht="11.25" customHeight="1">
      <c r="A343" t="s">
        <v>2248</v>
      </c>
      <c r="B343" t="s">
        <v>16</v>
      </c>
      <c r="C343" t="s">
        <v>2606</v>
      </c>
      <c r="D343" t="s">
        <v>2607</v>
      </c>
      <c r="E343" t="s">
        <v>2608</v>
      </c>
      <c r="F343" t="s">
        <v>2257</v>
      </c>
      <c r="G343" t="s">
        <v>2609</v>
      </c>
      <c r="H343" t="s">
        <v>22</v>
      </c>
      <c r="I343" t="s">
        <v>857</v>
      </c>
    </row>
    <row r="344" spans="1:9" ht="11.25" customHeight="1">
      <c r="A344" t="s">
        <v>2248</v>
      </c>
      <c r="B344" t="s">
        <v>16</v>
      </c>
      <c r="C344" t="s">
        <v>2610</v>
      </c>
      <c r="D344" t="s">
        <v>2611</v>
      </c>
      <c r="E344" t="s">
        <v>2612</v>
      </c>
      <c r="F344" t="s">
        <v>2613</v>
      </c>
      <c r="G344" t="s">
        <v>2614</v>
      </c>
      <c r="H344" t="s">
        <v>22</v>
      </c>
      <c r="I344" t="s">
        <v>857</v>
      </c>
    </row>
    <row r="345" spans="1:9" ht="11.25" customHeight="1">
      <c r="A345" t="s">
        <v>2248</v>
      </c>
      <c r="B345" t="s">
        <v>16</v>
      </c>
      <c r="C345" t="s">
        <v>2615</v>
      </c>
      <c r="D345" t="s">
        <v>2611</v>
      </c>
      <c r="E345" t="s">
        <v>2612</v>
      </c>
      <c r="F345" t="s">
        <v>2616</v>
      </c>
      <c r="G345" t="s">
        <v>2614</v>
      </c>
      <c r="H345" t="s">
        <v>22</v>
      </c>
      <c r="I345" t="s">
        <v>857</v>
      </c>
    </row>
    <row r="346" spans="1:9" ht="11.25" customHeight="1">
      <c r="A346" t="s">
        <v>2248</v>
      </c>
      <c r="B346" t="s">
        <v>16</v>
      </c>
      <c r="C346" t="s">
        <v>2617</v>
      </c>
      <c r="D346" t="s">
        <v>2618</v>
      </c>
      <c r="E346" t="s">
        <v>2619</v>
      </c>
      <c r="F346" t="s">
        <v>51</v>
      </c>
      <c r="G346" t="s">
        <v>2620</v>
      </c>
      <c r="H346" t="s">
        <v>22</v>
      </c>
      <c r="I346" t="s">
        <v>857</v>
      </c>
    </row>
    <row r="347" spans="1:9" ht="11.25" customHeight="1">
      <c r="A347" t="s">
        <v>2248</v>
      </c>
      <c r="B347" t="s">
        <v>16</v>
      </c>
      <c r="C347" t="s">
        <v>2621</v>
      </c>
      <c r="D347" t="s">
        <v>2622</v>
      </c>
      <c r="E347" t="s">
        <v>2623</v>
      </c>
      <c r="F347" t="s">
        <v>2422</v>
      </c>
      <c r="G347" t="s">
        <v>22</v>
      </c>
      <c r="H347" t="s">
        <v>2624</v>
      </c>
      <c r="I347" t="s">
        <v>857</v>
      </c>
    </row>
    <row r="348" spans="1:9" ht="11.25" customHeight="1">
      <c r="A348" t="s">
        <v>2248</v>
      </c>
      <c r="B348" t="s">
        <v>16</v>
      </c>
      <c r="C348" t="s">
        <v>2633</v>
      </c>
      <c r="D348" t="s">
        <v>2634</v>
      </c>
      <c r="E348" t="s">
        <v>2635</v>
      </c>
      <c r="F348" t="s">
        <v>51</v>
      </c>
      <c r="G348" t="s">
        <v>2636</v>
      </c>
      <c r="H348" t="s">
        <v>2637</v>
      </c>
      <c r="I348" t="s">
        <v>857</v>
      </c>
    </row>
    <row r="349" spans="1:9" ht="11.25" customHeight="1">
      <c r="A349" t="s">
        <v>2248</v>
      </c>
      <c r="B349" t="s">
        <v>16</v>
      </c>
      <c r="C349" t="s">
        <v>3060</v>
      </c>
      <c r="D349" t="s">
        <v>3061</v>
      </c>
      <c r="E349" t="s">
        <v>3062</v>
      </c>
      <c r="F349" t="s">
        <v>2252</v>
      </c>
      <c r="G349" t="s">
        <v>3063</v>
      </c>
      <c r="H349" t="s">
        <v>22</v>
      </c>
      <c r="I349" t="s">
        <v>857</v>
      </c>
    </row>
    <row r="350" spans="1:9" ht="11.25" customHeight="1">
      <c r="A350" t="s">
        <v>2248</v>
      </c>
      <c r="B350" t="s">
        <v>16</v>
      </c>
      <c r="C350" t="s">
        <v>3064</v>
      </c>
      <c r="D350" t="s">
        <v>3065</v>
      </c>
      <c r="E350" t="s">
        <v>3066</v>
      </c>
      <c r="F350" t="s">
        <v>2335</v>
      </c>
      <c r="G350" t="s">
        <v>22</v>
      </c>
      <c r="H350" t="s">
        <v>22</v>
      </c>
      <c r="I350" t="s">
        <v>857</v>
      </c>
    </row>
    <row r="351" spans="1:9" ht="11.25" customHeight="1">
      <c r="A351" t="s">
        <v>2248</v>
      </c>
      <c r="B351" t="s">
        <v>16</v>
      </c>
      <c r="C351" t="s">
        <v>2646</v>
      </c>
      <c r="D351" t="s">
        <v>2647</v>
      </c>
      <c r="E351" t="s">
        <v>2648</v>
      </c>
      <c r="F351" t="s">
        <v>2257</v>
      </c>
      <c r="G351" t="s">
        <v>2649</v>
      </c>
      <c r="H351" t="s">
        <v>22</v>
      </c>
      <c r="I351" t="s">
        <v>857</v>
      </c>
    </row>
    <row r="352" spans="1:9" ht="11.25" customHeight="1">
      <c r="A352" t="s">
        <v>2248</v>
      </c>
      <c r="B352" t="s">
        <v>16</v>
      </c>
      <c r="C352" t="s">
        <v>3067</v>
      </c>
      <c r="D352" t="s">
        <v>3068</v>
      </c>
      <c r="E352" t="s">
        <v>3069</v>
      </c>
      <c r="F352" t="s">
        <v>2503</v>
      </c>
      <c r="G352" t="s">
        <v>3070</v>
      </c>
      <c r="H352" t="s">
        <v>22</v>
      </c>
      <c r="I352" t="s">
        <v>857</v>
      </c>
    </row>
    <row r="353" spans="1:9" ht="11.25" customHeight="1">
      <c r="A353" t="s">
        <v>2248</v>
      </c>
      <c r="B353" t="s">
        <v>16</v>
      </c>
      <c r="C353" t="s">
        <v>2658</v>
      </c>
      <c r="D353" t="s">
        <v>2659</v>
      </c>
      <c r="E353" t="s">
        <v>2660</v>
      </c>
      <c r="F353" t="s">
        <v>51</v>
      </c>
      <c r="G353" t="s">
        <v>2661</v>
      </c>
      <c r="H353" t="s">
        <v>22</v>
      </c>
      <c r="I353" t="s">
        <v>857</v>
      </c>
    </row>
    <row r="354" spans="1:9" ht="11.25" customHeight="1">
      <c r="A354" t="s">
        <v>2248</v>
      </c>
      <c r="B354" t="s">
        <v>16</v>
      </c>
      <c r="C354" t="s">
        <v>3071</v>
      </c>
      <c r="D354" t="s">
        <v>3072</v>
      </c>
      <c r="E354" t="s">
        <v>3073</v>
      </c>
      <c r="F354" t="s">
        <v>51</v>
      </c>
      <c r="G354" t="s">
        <v>3074</v>
      </c>
      <c r="H354" t="s">
        <v>22</v>
      </c>
      <c r="I354" t="s">
        <v>857</v>
      </c>
    </row>
    <row r="355" spans="1:9" ht="11.25" customHeight="1">
      <c r="A355" t="s">
        <v>2248</v>
      </c>
      <c r="B355" t="s">
        <v>16</v>
      </c>
      <c r="C355" t="s">
        <v>2666</v>
      </c>
      <c r="D355" t="s">
        <v>2667</v>
      </c>
      <c r="E355" t="s">
        <v>2668</v>
      </c>
      <c r="F355" t="s">
        <v>2257</v>
      </c>
      <c r="G355" t="s">
        <v>2669</v>
      </c>
      <c r="H355" t="s">
        <v>22</v>
      </c>
      <c r="I355" t="s">
        <v>857</v>
      </c>
    </row>
    <row r="356" spans="1:9" ht="11.25" customHeight="1">
      <c r="A356" t="s">
        <v>2248</v>
      </c>
      <c r="B356" t="s">
        <v>16</v>
      </c>
      <c r="C356" t="s">
        <v>2670</v>
      </c>
      <c r="D356" t="s">
        <v>2671</v>
      </c>
      <c r="E356" t="s">
        <v>2672</v>
      </c>
      <c r="F356" t="s">
        <v>51</v>
      </c>
      <c r="G356" t="s">
        <v>22</v>
      </c>
      <c r="H356" t="s">
        <v>22</v>
      </c>
      <c r="I356" t="s">
        <v>857</v>
      </c>
    </row>
    <row r="357" spans="1:9" ht="11.25" customHeight="1">
      <c r="A357" t="s">
        <v>2248</v>
      </c>
      <c r="B357" t="s">
        <v>16</v>
      </c>
      <c r="C357" t="s">
        <v>2673</v>
      </c>
      <c r="D357" t="s">
        <v>2674</v>
      </c>
      <c r="E357" t="s">
        <v>2675</v>
      </c>
      <c r="F357" t="s">
        <v>51</v>
      </c>
      <c r="G357" t="s">
        <v>2676</v>
      </c>
      <c r="H357" t="s">
        <v>22</v>
      </c>
      <c r="I357" t="s">
        <v>857</v>
      </c>
    </row>
    <row r="358" spans="1:9" ht="11.25" customHeight="1">
      <c r="A358" t="s">
        <v>2248</v>
      </c>
      <c r="B358" t="s">
        <v>16</v>
      </c>
      <c r="C358" t="s">
        <v>2677</v>
      </c>
      <c r="D358" t="s">
        <v>2674</v>
      </c>
      <c r="E358" t="s">
        <v>2678</v>
      </c>
      <c r="F358" t="s">
        <v>51</v>
      </c>
      <c r="G358" t="s">
        <v>2679</v>
      </c>
      <c r="H358" t="s">
        <v>22</v>
      </c>
      <c r="I358" t="s">
        <v>857</v>
      </c>
    </row>
    <row r="359" spans="1:9" ht="11.25" customHeight="1">
      <c r="A359" t="s">
        <v>2248</v>
      </c>
      <c r="B359" t="s">
        <v>16</v>
      </c>
      <c r="C359" t="s">
        <v>2680</v>
      </c>
      <c r="D359" t="s">
        <v>2681</v>
      </c>
      <c r="E359" t="s">
        <v>2682</v>
      </c>
      <c r="F359" t="s">
        <v>51</v>
      </c>
      <c r="G359" t="s">
        <v>2683</v>
      </c>
      <c r="H359" t="s">
        <v>22</v>
      </c>
      <c r="I359" t="s">
        <v>857</v>
      </c>
    </row>
    <row r="360" spans="1:9" ht="11.25" customHeight="1">
      <c r="A360" t="s">
        <v>2248</v>
      </c>
      <c r="B360" t="s">
        <v>16</v>
      </c>
      <c r="C360" t="s">
        <v>2692</v>
      </c>
      <c r="D360" t="s">
        <v>2693</v>
      </c>
      <c r="E360" t="s">
        <v>2694</v>
      </c>
      <c r="F360" t="s">
        <v>2283</v>
      </c>
      <c r="G360" t="s">
        <v>2695</v>
      </c>
      <c r="H360" t="s">
        <v>22</v>
      </c>
      <c r="I360" t="s">
        <v>857</v>
      </c>
    </row>
    <row r="361" spans="1:9" ht="11.25" customHeight="1">
      <c r="A361" t="s">
        <v>2248</v>
      </c>
      <c r="B361" t="s">
        <v>16</v>
      </c>
      <c r="C361" t="s">
        <v>2696</v>
      </c>
      <c r="D361" t="s">
        <v>2697</v>
      </c>
      <c r="E361" t="s">
        <v>2698</v>
      </c>
      <c r="F361" t="s">
        <v>2422</v>
      </c>
      <c r="G361" t="s">
        <v>2699</v>
      </c>
      <c r="H361" t="s">
        <v>22</v>
      </c>
      <c r="I361" t="s">
        <v>857</v>
      </c>
    </row>
    <row r="362" spans="1:9" ht="11.25" customHeight="1">
      <c r="A362" t="s">
        <v>2248</v>
      </c>
      <c r="B362" t="s">
        <v>16</v>
      </c>
      <c r="C362" t="s">
        <v>2700</v>
      </c>
      <c r="D362" t="s">
        <v>2701</v>
      </c>
      <c r="E362" t="s">
        <v>2702</v>
      </c>
      <c r="F362" t="s">
        <v>2703</v>
      </c>
      <c r="G362" t="s">
        <v>2704</v>
      </c>
      <c r="H362" t="s">
        <v>22</v>
      </c>
      <c r="I362" t="s">
        <v>857</v>
      </c>
    </row>
    <row r="363" spans="1:9" ht="11.25" customHeight="1">
      <c r="A363" t="s">
        <v>2248</v>
      </c>
      <c r="B363" t="s">
        <v>16</v>
      </c>
      <c r="C363" t="s">
        <v>2705</v>
      </c>
      <c r="D363" t="s">
        <v>2706</v>
      </c>
      <c r="E363" t="s">
        <v>2707</v>
      </c>
      <c r="F363" t="s">
        <v>2708</v>
      </c>
      <c r="G363" t="s">
        <v>2709</v>
      </c>
      <c r="H363" t="s">
        <v>22</v>
      </c>
      <c r="I363" t="s">
        <v>857</v>
      </c>
    </row>
    <row r="364" spans="1:9" ht="11.25" customHeight="1">
      <c r="A364" t="s">
        <v>2248</v>
      </c>
      <c r="B364" t="s">
        <v>16</v>
      </c>
      <c r="C364" t="s">
        <v>2710</v>
      </c>
      <c r="D364" t="s">
        <v>2711</v>
      </c>
      <c r="E364" t="s">
        <v>2712</v>
      </c>
      <c r="F364" t="s">
        <v>2257</v>
      </c>
      <c r="G364" t="s">
        <v>2713</v>
      </c>
      <c r="H364" t="s">
        <v>22</v>
      </c>
      <c r="I364" t="s">
        <v>857</v>
      </c>
    </row>
    <row r="365" spans="1:9" ht="11.25" customHeight="1">
      <c r="A365" t="s">
        <v>2248</v>
      </c>
      <c r="B365" t="s">
        <v>16</v>
      </c>
      <c r="C365" t="s">
        <v>3075</v>
      </c>
      <c r="D365" t="s">
        <v>3076</v>
      </c>
      <c r="E365" t="s">
        <v>3077</v>
      </c>
      <c r="F365" t="s">
        <v>51</v>
      </c>
      <c r="G365" t="s">
        <v>3078</v>
      </c>
      <c r="H365" t="s">
        <v>22</v>
      </c>
      <c r="I365" t="s">
        <v>857</v>
      </c>
    </row>
    <row r="366" spans="1:9" ht="11.25" customHeight="1">
      <c r="A366" t="s">
        <v>2248</v>
      </c>
      <c r="B366" t="s">
        <v>16</v>
      </c>
      <c r="C366" t="s">
        <v>2718</v>
      </c>
      <c r="D366" t="s">
        <v>2719</v>
      </c>
      <c r="E366" t="s">
        <v>2720</v>
      </c>
      <c r="F366" t="s">
        <v>2257</v>
      </c>
      <c r="G366" t="s">
        <v>2721</v>
      </c>
      <c r="H366" t="s">
        <v>2624</v>
      </c>
      <c r="I366" t="s">
        <v>857</v>
      </c>
    </row>
    <row r="367" spans="1:9" ht="11.25" customHeight="1">
      <c r="A367" t="s">
        <v>2248</v>
      </c>
      <c r="B367" t="s">
        <v>16</v>
      </c>
      <c r="C367" t="s">
        <v>2722</v>
      </c>
      <c r="D367" t="s">
        <v>2719</v>
      </c>
      <c r="E367" t="s">
        <v>2723</v>
      </c>
      <c r="F367" t="s">
        <v>2257</v>
      </c>
      <c r="G367" t="s">
        <v>2724</v>
      </c>
      <c r="H367" t="s">
        <v>22</v>
      </c>
      <c r="I367" t="s">
        <v>857</v>
      </c>
    </row>
    <row r="368" spans="1:9" ht="11.25" customHeight="1">
      <c r="A368" t="s">
        <v>2248</v>
      </c>
      <c r="B368" t="s">
        <v>16</v>
      </c>
      <c r="C368" t="s">
        <v>2733</v>
      </c>
      <c r="D368" t="s">
        <v>2734</v>
      </c>
      <c r="E368" t="s">
        <v>2735</v>
      </c>
      <c r="F368" t="s">
        <v>2252</v>
      </c>
      <c r="G368" t="s">
        <v>22</v>
      </c>
      <c r="H368" t="s">
        <v>22</v>
      </c>
      <c r="I368" t="s">
        <v>857</v>
      </c>
    </row>
    <row r="369" spans="1:9" ht="11.25" customHeight="1">
      <c r="A369" t="s">
        <v>2248</v>
      </c>
      <c r="B369" t="s">
        <v>16</v>
      </c>
      <c r="C369" t="s">
        <v>3079</v>
      </c>
      <c r="D369" t="s">
        <v>3080</v>
      </c>
      <c r="E369" t="s">
        <v>3081</v>
      </c>
      <c r="F369" t="s">
        <v>2446</v>
      </c>
      <c r="G369" t="s">
        <v>3082</v>
      </c>
      <c r="H369" t="s">
        <v>22</v>
      </c>
      <c r="I369" t="s">
        <v>857</v>
      </c>
    </row>
    <row r="370" spans="1:9" ht="11.25" customHeight="1">
      <c r="A370" t="s">
        <v>2248</v>
      </c>
      <c r="B370" t="s">
        <v>16</v>
      </c>
      <c r="C370" t="s">
        <v>2781</v>
      </c>
      <c r="D370" t="s">
        <v>2782</v>
      </c>
      <c r="E370" t="s">
        <v>2783</v>
      </c>
      <c r="F370" t="s">
        <v>51</v>
      </c>
      <c r="G370" t="s">
        <v>2784</v>
      </c>
      <c r="H370" t="s">
        <v>22</v>
      </c>
      <c r="I370" t="s">
        <v>857</v>
      </c>
    </row>
    <row r="371" spans="1:9" ht="11.25" customHeight="1">
      <c r="A371" t="s">
        <v>2248</v>
      </c>
      <c r="B371" t="s">
        <v>16</v>
      </c>
      <c r="C371" t="s">
        <v>2789</v>
      </c>
      <c r="D371" t="s">
        <v>2790</v>
      </c>
      <c r="E371" t="s">
        <v>2791</v>
      </c>
      <c r="F371" t="s">
        <v>51</v>
      </c>
      <c r="G371" t="s">
        <v>22</v>
      </c>
      <c r="H371" t="s">
        <v>22</v>
      </c>
      <c r="I371" t="s">
        <v>857</v>
      </c>
    </row>
    <row r="372" spans="1:9" ht="11.25" customHeight="1">
      <c r="A372" t="s">
        <v>2248</v>
      </c>
      <c r="B372" t="s">
        <v>16</v>
      </c>
      <c r="C372" t="s">
        <v>2796</v>
      </c>
      <c r="D372" t="s">
        <v>2797</v>
      </c>
      <c r="E372" t="s">
        <v>2798</v>
      </c>
      <c r="F372" t="s">
        <v>2257</v>
      </c>
      <c r="G372" t="s">
        <v>2799</v>
      </c>
      <c r="H372" t="s">
        <v>22</v>
      </c>
      <c r="I372" t="s">
        <v>857</v>
      </c>
    </row>
    <row r="373" spans="1:9" ht="11.25" customHeight="1">
      <c r="A373" t="s">
        <v>2248</v>
      </c>
      <c r="B373" t="s">
        <v>16</v>
      </c>
      <c r="C373" t="s">
        <v>2800</v>
      </c>
      <c r="D373" t="s">
        <v>2801</v>
      </c>
      <c r="E373" t="s">
        <v>2802</v>
      </c>
      <c r="F373" t="s">
        <v>2257</v>
      </c>
      <c r="G373" t="s">
        <v>2803</v>
      </c>
      <c r="H373" t="s">
        <v>22</v>
      </c>
      <c r="I373" t="s">
        <v>857</v>
      </c>
    </row>
    <row r="374" spans="1:9" ht="11.25" customHeight="1">
      <c r="A374" t="s">
        <v>2248</v>
      </c>
      <c r="B374" t="s">
        <v>16</v>
      </c>
      <c r="C374" t="s">
        <v>2804</v>
      </c>
      <c r="D374" t="s">
        <v>2805</v>
      </c>
      <c r="E374" t="s">
        <v>2806</v>
      </c>
      <c r="F374" t="s">
        <v>51</v>
      </c>
      <c r="G374" t="s">
        <v>2807</v>
      </c>
      <c r="H374" t="s">
        <v>22</v>
      </c>
      <c r="I374" t="s">
        <v>857</v>
      </c>
    </row>
    <row r="375" spans="1:9" ht="11.25" customHeight="1">
      <c r="A375" t="s">
        <v>2248</v>
      </c>
      <c r="B375" t="s">
        <v>16</v>
      </c>
      <c r="C375" t="s">
        <v>2808</v>
      </c>
      <c r="D375" t="s">
        <v>2809</v>
      </c>
      <c r="E375" t="s">
        <v>2810</v>
      </c>
      <c r="F375" t="s">
        <v>2257</v>
      </c>
      <c r="G375" t="s">
        <v>2811</v>
      </c>
      <c r="H375" t="s">
        <v>22</v>
      </c>
      <c r="I375" t="s">
        <v>857</v>
      </c>
    </row>
    <row r="376" spans="1:9" ht="11.25" customHeight="1">
      <c r="A376" t="s">
        <v>2248</v>
      </c>
      <c r="B376" t="s">
        <v>16</v>
      </c>
      <c r="C376" t="s">
        <v>2819</v>
      </c>
      <c r="D376" t="s">
        <v>2820</v>
      </c>
      <c r="E376" t="s">
        <v>2821</v>
      </c>
      <c r="F376" t="s">
        <v>2257</v>
      </c>
      <c r="G376" t="s">
        <v>2822</v>
      </c>
      <c r="H376" t="s">
        <v>22</v>
      </c>
      <c r="I376" t="s">
        <v>857</v>
      </c>
    </row>
    <row r="377" spans="1:9" ht="11.25" customHeight="1">
      <c r="A377" t="s">
        <v>2248</v>
      </c>
      <c r="B377" t="s">
        <v>16</v>
      </c>
      <c r="C377" t="s">
        <v>2823</v>
      </c>
      <c r="D377" t="s">
        <v>2824</v>
      </c>
      <c r="E377" t="s">
        <v>2825</v>
      </c>
      <c r="F377" t="s">
        <v>2252</v>
      </c>
      <c r="G377" t="s">
        <v>2826</v>
      </c>
      <c r="H377" t="s">
        <v>22</v>
      </c>
      <c r="I377" t="s">
        <v>857</v>
      </c>
    </row>
    <row r="378" spans="1:9" ht="11.25" customHeight="1">
      <c r="A378" t="s">
        <v>2248</v>
      </c>
      <c r="B378" t="s">
        <v>16</v>
      </c>
      <c r="C378" t="s">
        <v>3083</v>
      </c>
      <c r="D378" t="s">
        <v>3084</v>
      </c>
      <c r="E378" t="s">
        <v>3085</v>
      </c>
      <c r="F378" t="s">
        <v>2349</v>
      </c>
      <c r="G378" t="s">
        <v>3086</v>
      </c>
      <c r="H378" t="s">
        <v>22</v>
      </c>
      <c r="I378" t="s">
        <v>857</v>
      </c>
    </row>
    <row r="379" spans="1:9" ht="11.25" customHeight="1">
      <c r="A379" t="s">
        <v>2248</v>
      </c>
      <c r="B379" t="s">
        <v>16</v>
      </c>
      <c r="C379" t="s">
        <v>2831</v>
      </c>
      <c r="D379" t="s">
        <v>2832</v>
      </c>
      <c r="E379" t="s">
        <v>2833</v>
      </c>
      <c r="F379" t="s">
        <v>2503</v>
      </c>
      <c r="G379" t="s">
        <v>22</v>
      </c>
      <c r="H379" t="s">
        <v>22</v>
      </c>
      <c r="I379" t="s">
        <v>857</v>
      </c>
    </row>
    <row r="380" spans="1:9" ht="11.25" customHeight="1">
      <c r="A380" t="s">
        <v>2248</v>
      </c>
      <c r="B380" t="s">
        <v>16</v>
      </c>
      <c r="C380" t="s">
        <v>2834</v>
      </c>
      <c r="D380" t="s">
        <v>2835</v>
      </c>
      <c r="E380" t="s">
        <v>2836</v>
      </c>
      <c r="F380" t="s">
        <v>2837</v>
      </c>
      <c r="G380" t="s">
        <v>2838</v>
      </c>
      <c r="H380" t="s">
        <v>22</v>
      </c>
      <c r="I380" t="s">
        <v>857</v>
      </c>
    </row>
    <row r="381" spans="1:9" ht="11.25" customHeight="1">
      <c r="A381" t="s">
        <v>2248</v>
      </c>
      <c r="B381" t="s">
        <v>16</v>
      </c>
      <c r="C381" t="s">
        <v>3087</v>
      </c>
      <c r="D381" t="s">
        <v>3088</v>
      </c>
      <c r="E381" t="s">
        <v>3089</v>
      </c>
      <c r="F381" t="s">
        <v>2349</v>
      </c>
      <c r="G381" t="s">
        <v>3090</v>
      </c>
      <c r="H381" t="s">
        <v>22</v>
      </c>
      <c r="I381" t="s">
        <v>857</v>
      </c>
    </row>
    <row r="382" spans="1:9" ht="11.25" customHeight="1">
      <c r="A382" t="s">
        <v>2248</v>
      </c>
      <c r="B382" t="s">
        <v>16</v>
      </c>
      <c r="C382" t="s">
        <v>3091</v>
      </c>
      <c r="D382" t="s">
        <v>3092</v>
      </c>
      <c r="E382" t="s">
        <v>3093</v>
      </c>
      <c r="F382" t="s">
        <v>2257</v>
      </c>
      <c r="G382" t="s">
        <v>22</v>
      </c>
      <c r="H382" t="s">
        <v>22</v>
      </c>
      <c r="I382" t="s">
        <v>857</v>
      </c>
    </row>
    <row r="383" spans="1:9" ht="11.25" customHeight="1">
      <c r="A383" t="s">
        <v>2248</v>
      </c>
      <c r="B383" t="s">
        <v>16</v>
      </c>
      <c r="C383" t="s">
        <v>2843</v>
      </c>
      <c r="D383" t="s">
        <v>2844</v>
      </c>
      <c r="E383" t="s">
        <v>2845</v>
      </c>
      <c r="F383" t="s">
        <v>2422</v>
      </c>
      <c r="G383" t="s">
        <v>2846</v>
      </c>
      <c r="H383" t="s">
        <v>22</v>
      </c>
      <c r="I383" t="s">
        <v>857</v>
      </c>
    </row>
    <row r="384" spans="1:9" ht="11.25" customHeight="1">
      <c r="A384" t="s">
        <v>2248</v>
      </c>
      <c r="B384" t="s">
        <v>16</v>
      </c>
      <c r="C384" t="s">
        <v>2852</v>
      </c>
      <c r="D384" t="s">
        <v>2853</v>
      </c>
      <c r="E384" t="s">
        <v>2854</v>
      </c>
      <c r="F384" t="s">
        <v>2349</v>
      </c>
      <c r="G384" t="s">
        <v>2855</v>
      </c>
      <c r="H384" t="s">
        <v>22</v>
      </c>
      <c r="I384" t="s">
        <v>857</v>
      </c>
    </row>
    <row r="385" spans="1:9" ht="11.25" customHeight="1">
      <c r="A385" t="s">
        <v>2248</v>
      </c>
      <c r="B385" t="s">
        <v>16</v>
      </c>
      <c r="C385" t="s">
        <v>2856</v>
      </c>
      <c r="D385" t="s">
        <v>2857</v>
      </c>
      <c r="E385" t="s">
        <v>2858</v>
      </c>
      <c r="F385" t="s">
        <v>51</v>
      </c>
      <c r="G385" t="s">
        <v>2859</v>
      </c>
      <c r="H385" t="s">
        <v>22</v>
      </c>
      <c r="I385" t="s">
        <v>857</v>
      </c>
    </row>
    <row r="386" spans="1:9" ht="11.25" customHeight="1">
      <c r="A386" t="s">
        <v>2248</v>
      </c>
      <c r="B386" t="s">
        <v>16</v>
      </c>
      <c r="C386" t="s">
        <v>2864</v>
      </c>
      <c r="D386" t="s">
        <v>2865</v>
      </c>
      <c r="E386" t="s">
        <v>2866</v>
      </c>
      <c r="F386" t="s">
        <v>51</v>
      </c>
      <c r="G386" t="s">
        <v>2867</v>
      </c>
      <c r="H386" t="s">
        <v>22</v>
      </c>
      <c r="I386" t="s">
        <v>857</v>
      </c>
    </row>
    <row r="387" spans="1:9" ht="11.25" customHeight="1">
      <c r="A387" t="s">
        <v>2248</v>
      </c>
      <c r="B387" t="s">
        <v>16</v>
      </c>
      <c r="C387" t="s">
        <v>2876</v>
      </c>
      <c r="D387" t="s">
        <v>2877</v>
      </c>
      <c r="E387" t="s">
        <v>2878</v>
      </c>
      <c r="F387" t="s">
        <v>2257</v>
      </c>
      <c r="G387" t="s">
        <v>2879</v>
      </c>
      <c r="H387" t="s">
        <v>22</v>
      </c>
      <c r="I387" t="s">
        <v>857</v>
      </c>
    </row>
    <row r="388" spans="1:9" ht="11.25" customHeight="1">
      <c r="A388" t="s">
        <v>2248</v>
      </c>
      <c r="B388" t="s">
        <v>16</v>
      </c>
      <c r="C388" t="s">
        <v>2888</v>
      </c>
      <c r="D388" t="s">
        <v>2889</v>
      </c>
      <c r="E388" t="s">
        <v>2890</v>
      </c>
      <c r="F388" t="s">
        <v>2257</v>
      </c>
      <c r="G388" t="s">
        <v>2891</v>
      </c>
      <c r="H388" t="s">
        <v>22</v>
      </c>
      <c r="I388" t="s">
        <v>857</v>
      </c>
    </row>
    <row r="389" spans="1:9" ht="11.25" customHeight="1">
      <c r="A389" t="s">
        <v>2248</v>
      </c>
      <c r="B389" t="s">
        <v>16</v>
      </c>
      <c r="C389" t="s">
        <v>3094</v>
      </c>
      <c r="D389" t="s">
        <v>3095</v>
      </c>
      <c r="E389" t="s">
        <v>3096</v>
      </c>
      <c r="F389" t="s">
        <v>2257</v>
      </c>
      <c r="G389" t="s">
        <v>3097</v>
      </c>
      <c r="H389" t="s">
        <v>22</v>
      </c>
      <c r="I389" t="s">
        <v>857</v>
      </c>
    </row>
    <row r="390" spans="1:9" ht="11.25" customHeight="1">
      <c r="A390" t="s">
        <v>2248</v>
      </c>
      <c r="B390" t="s">
        <v>16</v>
      </c>
      <c r="C390" t="s">
        <v>3098</v>
      </c>
      <c r="D390" t="s">
        <v>3099</v>
      </c>
      <c r="E390" t="s">
        <v>3100</v>
      </c>
      <c r="F390" t="s">
        <v>51</v>
      </c>
      <c r="G390" t="s">
        <v>3101</v>
      </c>
      <c r="H390" t="s">
        <v>22</v>
      </c>
      <c r="I390" t="s">
        <v>857</v>
      </c>
    </row>
    <row r="391" spans="1:9" ht="11.25" customHeight="1">
      <c r="A391" t="s">
        <v>2248</v>
      </c>
      <c r="B391" t="s">
        <v>16</v>
      </c>
      <c r="C391" t="s">
        <v>2896</v>
      </c>
      <c r="D391" t="s">
        <v>2897</v>
      </c>
      <c r="E391" t="s">
        <v>2898</v>
      </c>
      <c r="F391" t="s">
        <v>2257</v>
      </c>
      <c r="G391" t="s">
        <v>2899</v>
      </c>
      <c r="H391" t="s">
        <v>22</v>
      </c>
      <c r="I391" t="s">
        <v>857</v>
      </c>
    </row>
    <row r="392" spans="1:9" ht="11.25" customHeight="1">
      <c r="A392" t="s">
        <v>2248</v>
      </c>
      <c r="B392" t="s">
        <v>16</v>
      </c>
      <c r="C392" t="s">
        <v>2900</v>
      </c>
      <c r="D392" t="s">
        <v>2901</v>
      </c>
      <c r="E392" t="s">
        <v>2902</v>
      </c>
      <c r="F392" t="s">
        <v>2257</v>
      </c>
      <c r="G392" t="s">
        <v>2903</v>
      </c>
      <c r="H392" t="s">
        <v>22</v>
      </c>
      <c r="I392" t="s">
        <v>857</v>
      </c>
    </row>
    <row r="393" spans="1:9" ht="11.25" customHeight="1">
      <c r="A393" t="s">
        <v>2248</v>
      </c>
      <c r="B393" t="s">
        <v>16</v>
      </c>
      <c r="C393" t="s">
        <v>3102</v>
      </c>
      <c r="D393" t="s">
        <v>3103</v>
      </c>
      <c r="E393" t="s">
        <v>3104</v>
      </c>
      <c r="F393" t="s">
        <v>2257</v>
      </c>
      <c r="G393" t="s">
        <v>3105</v>
      </c>
      <c r="H393" t="s">
        <v>22</v>
      </c>
      <c r="I393" t="s">
        <v>857</v>
      </c>
    </row>
    <row r="394" spans="1:9" ht="11.25" customHeight="1">
      <c r="A394" t="s">
        <v>2248</v>
      </c>
      <c r="B394" t="s">
        <v>16</v>
      </c>
      <c r="C394" t="s">
        <v>2908</v>
      </c>
      <c r="D394" t="s">
        <v>2909</v>
      </c>
      <c r="E394" t="s">
        <v>2910</v>
      </c>
      <c r="F394" t="s">
        <v>2257</v>
      </c>
      <c r="G394" t="s">
        <v>2911</v>
      </c>
      <c r="H394" t="s">
        <v>22</v>
      </c>
      <c r="I394" t="s">
        <v>857</v>
      </c>
    </row>
    <row r="395" spans="1:9" ht="11.25" customHeight="1">
      <c r="A395" t="s">
        <v>2248</v>
      </c>
      <c r="B395" t="s">
        <v>16</v>
      </c>
      <c r="C395" t="s">
        <v>2912</v>
      </c>
      <c r="D395" t="s">
        <v>2913</v>
      </c>
      <c r="E395" t="s">
        <v>2914</v>
      </c>
      <c r="F395" t="s">
        <v>2915</v>
      </c>
      <c r="G395" t="s">
        <v>2916</v>
      </c>
      <c r="H395" t="s">
        <v>22</v>
      </c>
      <c r="I395" t="s">
        <v>857</v>
      </c>
    </row>
    <row r="396" spans="1:9" ht="11.25" customHeight="1">
      <c r="A396" t="s">
        <v>2248</v>
      </c>
      <c r="B396" t="s">
        <v>16</v>
      </c>
      <c r="C396" t="s">
        <v>2917</v>
      </c>
      <c r="D396" t="s">
        <v>2918</v>
      </c>
      <c r="E396" t="s">
        <v>2919</v>
      </c>
      <c r="F396" t="s">
        <v>2920</v>
      </c>
      <c r="G396" t="s">
        <v>22</v>
      </c>
      <c r="H396" t="s">
        <v>22</v>
      </c>
      <c r="I396" t="s">
        <v>857</v>
      </c>
    </row>
    <row r="397" spans="1:9" ht="11.25" customHeight="1">
      <c r="A397" t="s">
        <v>2248</v>
      </c>
      <c r="B397" t="s">
        <v>16</v>
      </c>
      <c r="C397" t="s">
        <v>3106</v>
      </c>
      <c r="D397" t="s">
        <v>3107</v>
      </c>
      <c r="E397" t="s">
        <v>3108</v>
      </c>
      <c r="F397" t="s">
        <v>2915</v>
      </c>
      <c r="G397" t="s">
        <v>3109</v>
      </c>
      <c r="H397" t="s">
        <v>22</v>
      </c>
      <c r="I397" t="s">
        <v>857</v>
      </c>
    </row>
    <row r="398" spans="1:9" ht="11.25" customHeight="1">
      <c r="A398" t="s">
        <v>2248</v>
      </c>
      <c r="B398" t="s">
        <v>16</v>
      </c>
      <c r="C398" t="s">
        <v>2262</v>
      </c>
      <c r="D398" t="s">
        <v>2263</v>
      </c>
      <c r="E398" t="s">
        <v>2264</v>
      </c>
      <c r="F398" t="s">
        <v>2265</v>
      </c>
      <c r="G398" t="s">
        <v>22</v>
      </c>
      <c r="H398" t="s">
        <v>22</v>
      </c>
      <c r="I398" t="s">
        <v>910</v>
      </c>
    </row>
    <row r="399" spans="1:9" ht="11.25" customHeight="1">
      <c r="A399" t="s">
        <v>2248</v>
      </c>
      <c r="B399" t="s">
        <v>16</v>
      </c>
      <c r="C399" t="s">
        <v>2266</v>
      </c>
      <c r="D399" t="s">
        <v>2263</v>
      </c>
      <c r="E399" t="s">
        <v>2264</v>
      </c>
      <c r="F399" t="s">
        <v>2267</v>
      </c>
      <c r="G399" t="s">
        <v>22</v>
      </c>
      <c r="H399" t="s">
        <v>22</v>
      </c>
      <c r="I399" t="s">
        <v>910</v>
      </c>
    </row>
    <row r="400" spans="1:9" ht="11.25" customHeight="1">
      <c r="A400" t="s">
        <v>2248</v>
      </c>
      <c r="B400" t="s">
        <v>16</v>
      </c>
      <c r="C400" t="s">
        <v>2280</v>
      </c>
      <c r="D400" t="s">
        <v>2281</v>
      </c>
      <c r="E400" t="s">
        <v>2282</v>
      </c>
      <c r="F400" t="s">
        <v>2283</v>
      </c>
      <c r="G400" t="s">
        <v>2284</v>
      </c>
      <c r="H400" t="s">
        <v>22</v>
      </c>
      <c r="I400" t="s">
        <v>910</v>
      </c>
    </row>
    <row r="401" spans="1:9" ht="11.25" customHeight="1">
      <c r="A401" t="s">
        <v>2248</v>
      </c>
      <c r="B401" t="s">
        <v>16</v>
      </c>
      <c r="C401" t="s">
        <v>2285</v>
      </c>
      <c r="D401" t="s">
        <v>2286</v>
      </c>
      <c r="E401" t="s">
        <v>2287</v>
      </c>
      <c r="F401" t="s">
        <v>2283</v>
      </c>
      <c r="G401" t="s">
        <v>2288</v>
      </c>
      <c r="H401" t="s">
        <v>22</v>
      </c>
      <c r="I401" t="s">
        <v>910</v>
      </c>
    </row>
    <row r="402" spans="1:9" ht="11.25" customHeight="1">
      <c r="A402" t="s">
        <v>2248</v>
      </c>
      <c r="B402" t="s">
        <v>16</v>
      </c>
      <c r="C402" t="s">
        <v>2933</v>
      </c>
      <c r="D402" t="s">
        <v>2934</v>
      </c>
      <c r="E402" t="s">
        <v>2935</v>
      </c>
      <c r="F402" t="s">
        <v>51</v>
      </c>
      <c r="G402" t="s">
        <v>2826</v>
      </c>
      <c r="H402" t="s">
        <v>22</v>
      </c>
      <c r="I402" t="s">
        <v>910</v>
      </c>
    </row>
    <row r="403" spans="1:9" ht="11.25" customHeight="1">
      <c r="A403" t="s">
        <v>2248</v>
      </c>
      <c r="B403" t="s">
        <v>16</v>
      </c>
      <c r="C403" t="s">
        <v>2941</v>
      </c>
      <c r="D403" t="s">
        <v>2942</v>
      </c>
      <c r="E403" t="s">
        <v>2943</v>
      </c>
      <c r="F403" t="s">
        <v>2944</v>
      </c>
      <c r="G403" t="s">
        <v>2945</v>
      </c>
      <c r="H403" t="s">
        <v>22</v>
      </c>
      <c r="I403" t="s">
        <v>910</v>
      </c>
    </row>
    <row r="404" spans="1:9" ht="11.25" customHeight="1">
      <c r="A404" t="s">
        <v>2248</v>
      </c>
      <c r="B404" t="s">
        <v>16</v>
      </c>
      <c r="C404" t="s">
        <v>22</v>
      </c>
      <c r="D404" t="s">
        <v>2321</v>
      </c>
      <c r="E404" t="s">
        <v>2322</v>
      </c>
      <c r="F404" t="s">
        <v>2257</v>
      </c>
      <c r="G404" t="s">
        <v>22</v>
      </c>
      <c r="H404" t="s">
        <v>22</v>
      </c>
      <c r="I404" t="s">
        <v>910</v>
      </c>
    </row>
    <row r="405" spans="1:9" ht="11.25" customHeight="1">
      <c r="A405" t="s">
        <v>2248</v>
      </c>
      <c r="B405" t="s">
        <v>16</v>
      </c>
      <c r="C405" t="s">
        <v>2337</v>
      </c>
      <c r="D405" t="s">
        <v>2338</v>
      </c>
      <c r="E405" t="s">
        <v>2339</v>
      </c>
      <c r="F405" t="s">
        <v>2340</v>
      </c>
      <c r="G405" t="s">
        <v>22</v>
      </c>
      <c r="H405" t="s">
        <v>22</v>
      </c>
      <c r="I405" t="s">
        <v>910</v>
      </c>
    </row>
    <row r="406" spans="1:9" ht="11.25" customHeight="1">
      <c r="A406" t="s">
        <v>2248</v>
      </c>
      <c r="B406" t="s">
        <v>16</v>
      </c>
      <c r="C406" t="s">
        <v>2980</v>
      </c>
      <c r="D406" t="s">
        <v>2981</v>
      </c>
      <c r="E406" t="s">
        <v>2982</v>
      </c>
      <c r="F406" t="s">
        <v>2349</v>
      </c>
      <c r="G406" t="s">
        <v>2983</v>
      </c>
      <c r="H406" t="s">
        <v>22</v>
      </c>
      <c r="I406" t="s">
        <v>910</v>
      </c>
    </row>
    <row r="407" spans="1:9" ht="11.25" customHeight="1">
      <c r="A407" t="s">
        <v>2248</v>
      </c>
      <c r="B407" t="s">
        <v>16</v>
      </c>
      <c r="C407" t="s">
        <v>2984</v>
      </c>
      <c r="D407" t="s">
        <v>2985</v>
      </c>
      <c r="E407" t="s">
        <v>2986</v>
      </c>
      <c r="F407" t="s">
        <v>2580</v>
      </c>
      <c r="G407" t="s">
        <v>2987</v>
      </c>
      <c r="H407" t="s">
        <v>22</v>
      </c>
      <c r="I407" t="s">
        <v>910</v>
      </c>
    </row>
    <row r="408" spans="1:9" ht="11.25" customHeight="1">
      <c r="A408" t="s">
        <v>2248</v>
      </c>
      <c r="B408" t="s">
        <v>16</v>
      </c>
      <c r="C408" t="s">
        <v>2341</v>
      </c>
      <c r="D408" t="s">
        <v>2342</v>
      </c>
      <c r="E408" t="s">
        <v>2343</v>
      </c>
      <c r="F408" t="s">
        <v>2344</v>
      </c>
      <c r="G408" t="s">
        <v>2345</v>
      </c>
      <c r="H408" t="s">
        <v>22</v>
      </c>
      <c r="I408" t="s">
        <v>910</v>
      </c>
    </row>
    <row r="409" spans="1:9" ht="11.25" customHeight="1">
      <c r="A409" t="s">
        <v>2248</v>
      </c>
      <c r="B409" t="s">
        <v>16</v>
      </c>
      <c r="C409" t="s">
        <v>2346</v>
      </c>
      <c r="D409" t="s">
        <v>2347</v>
      </c>
      <c r="E409" t="s">
        <v>2348</v>
      </c>
      <c r="F409" t="s">
        <v>2349</v>
      </c>
      <c r="G409" t="s">
        <v>2350</v>
      </c>
      <c r="H409" t="s">
        <v>22</v>
      </c>
      <c r="I409" t="s">
        <v>910</v>
      </c>
    </row>
    <row r="410" spans="1:9" ht="11.25" customHeight="1">
      <c r="A410" t="s">
        <v>2248</v>
      </c>
      <c r="B410" t="s">
        <v>16</v>
      </c>
      <c r="C410" t="s">
        <v>2351</v>
      </c>
      <c r="D410" t="s">
        <v>2352</v>
      </c>
      <c r="E410" t="s">
        <v>2353</v>
      </c>
      <c r="F410" t="s">
        <v>2252</v>
      </c>
      <c r="G410" t="s">
        <v>2253</v>
      </c>
      <c r="H410" t="s">
        <v>22</v>
      </c>
      <c r="I410" t="s">
        <v>910</v>
      </c>
    </row>
    <row r="411" spans="1:9" ht="11.25" customHeight="1">
      <c r="A411" t="s">
        <v>2248</v>
      </c>
      <c r="B411" t="s">
        <v>16</v>
      </c>
      <c r="C411" t="s">
        <v>2996</v>
      </c>
      <c r="D411" t="s">
        <v>2997</v>
      </c>
      <c r="E411" t="s">
        <v>2998</v>
      </c>
      <c r="F411" t="s">
        <v>51</v>
      </c>
      <c r="G411" t="s">
        <v>2999</v>
      </c>
      <c r="H411" t="s">
        <v>22</v>
      </c>
      <c r="I411" t="s">
        <v>910</v>
      </c>
    </row>
    <row r="412" spans="1:9" ht="11.25" customHeight="1">
      <c r="A412" t="s">
        <v>2248</v>
      </c>
      <c r="B412" t="s">
        <v>16</v>
      </c>
      <c r="C412" t="s">
        <v>3000</v>
      </c>
      <c r="D412" t="s">
        <v>3001</v>
      </c>
      <c r="E412" t="s">
        <v>3002</v>
      </c>
      <c r="F412" t="s">
        <v>2326</v>
      </c>
      <c r="G412" t="s">
        <v>3003</v>
      </c>
      <c r="H412" t="s">
        <v>3004</v>
      </c>
      <c r="I412" t="s">
        <v>910</v>
      </c>
    </row>
    <row r="413" spans="1:9" ht="11.25" customHeight="1">
      <c r="A413" t="s">
        <v>2248</v>
      </c>
      <c r="B413" t="s">
        <v>16</v>
      </c>
      <c r="C413" t="s">
        <v>3005</v>
      </c>
      <c r="D413" t="s">
        <v>3006</v>
      </c>
      <c r="E413" t="s">
        <v>3007</v>
      </c>
      <c r="F413" t="s">
        <v>2422</v>
      </c>
      <c r="G413" t="s">
        <v>3008</v>
      </c>
      <c r="H413" t="s">
        <v>22</v>
      </c>
      <c r="I413" t="s">
        <v>910</v>
      </c>
    </row>
    <row r="414" spans="1:9" ht="11.25" customHeight="1">
      <c r="A414" t="s">
        <v>2248</v>
      </c>
      <c r="B414" t="s">
        <v>16</v>
      </c>
      <c r="C414" t="s">
        <v>2370</v>
      </c>
      <c r="D414" t="s">
        <v>2371</v>
      </c>
      <c r="E414" t="s">
        <v>2372</v>
      </c>
      <c r="F414" t="s">
        <v>2373</v>
      </c>
      <c r="G414" t="s">
        <v>2374</v>
      </c>
      <c r="H414" t="s">
        <v>22</v>
      </c>
      <c r="I414" t="s">
        <v>910</v>
      </c>
    </row>
    <row r="415" spans="1:9" ht="11.25" customHeight="1">
      <c r="A415" t="s">
        <v>2248</v>
      </c>
      <c r="B415" t="s">
        <v>16</v>
      </c>
      <c r="C415" t="s">
        <v>2380</v>
      </c>
      <c r="D415" t="s">
        <v>2381</v>
      </c>
      <c r="E415" t="s">
        <v>2382</v>
      </c>
      <c r="F415" t="s">
        <v>51</v>
      </c>
      <c r="G415" t="s">
        <v>2383</v>
      </c>
      <c r="H415" t="s">
        <v>22</v>
      </c>
      <c r="I415" t="s">
        <v>910</v>
      </c>
    </row>
    <row r="416" spans="1:9" ht="11.25" customHeight="1">
      <c r="A416" t="s">
        <v>2248</v>
      </c>
      <c r="B416" t="s">
        <v>16</v>
      </c>
      <c r="C416" t="s">
        <v>2396</v>
      </c>
      <c r="D416" t="s">
        <v>2397</v>
      </c>
      <c r="E416" t="s">
        <v>2398</v>
      </c>
      <c r="F416" t="s">
        <v>51</v>
      </c>
      <c r="G416" t="s">
        <v>2399</v>
      </c>
      <c r="H416" t="s">
        <v>22</v>
      </c>
      <c r="I416" t="s">
        <v>910</v>
      </c>
    </row>
    <row r="417" spans="1:9" ht="11.25" customHeight="1">
      <c r="A417" t="s">
        <v>2248</v>
      </c>
      <c r="B417" t="s">
        <v>16</v>
      </c>
      <c r="C417" t="s">
        <v>2411</v>
      </c>
      <c r="D417" t="s">
        <v>2412</v>
      </c>
      <c r="E417" t="s">
        <v>2413</v>
      </c>
      <c r="F417" t="s">
        <v>2252</v>
      </c>
      <c r="G417" t="s">
        <v>2414</v>
      </c>
      <c r="H417" t="s">
        <v>22</v>
      </c>
      <c r="I417" t="s">
        <v>910</v>
      </c>
    </row>
    <row r="418" spans="1:9" ht="11.25" customHeight="1">
      <c r="A418" t="s">
        <v>2248</v>
      </c>
      <c r="B418" t="s">
        <v>16</v>
      </c>
      <c r="C418" t="s">
        <v>3009</v>
      </c>
      <c r="D418" t="s">
        <v>3010</v>
      </c>
      <c r="E418" t="s">
        <v>3011</v>
      </c>
      <c r="F418" t="s">
        <v>2703</v>
      </c>
      <c r="G418" t="s">
        <v>22</v>
      </c>
      <c r="H418" t="s">
        <v>22</v>
      </c>
      <c r="I418" t="s">
        <v>910</v>
      </c>
    </row>
    <row r="419" spans="1:9" ht="11.25" customHeight="1">
      <c r="A419" t="s">
        <v>2248</v>
      </c>
      <c r="B419" t="s">
        <v>16</v>
      </c>
      <c r="C419" t="s">
        <v>2419</v>
      </c>
      <c r="D419" t="s">
        <v>2420</v>
      </c>
      <c r="E419" t="s">
        <v>2421</v>
      </c>
      <c r="F419" t="s">
        <v>2422</v>
      </c>
      <c r="G419" t="s">
        <v>2423</v>
      </c>
      <c r="H419" t="s">
        <v>22</v>
      </c>
      <c r="I419" t="s">
        <v>910</v>
      </c>
    </row>
    <row r="420" spans="1:9" ht="11.25" customHeight="1">
      <c r="A420" t="s">
        <v>2248</v>
      </c>
      <c r="B420" t="s">
        <v>16</v>
      </c>
      <c r="C420" t="s">
        <v>2424</v>
      </c>
      <c r="D420" t="s">
        <v>2425</v>
      </c>
      <c r="E420" t="s">
        <v>2426</v>
      </c>
      <c r="F420" t="s">
        <v>2368</v>
      </c>
      <c r="G420" t="s">
        <v>2427</v>
      </c>
      <c r="H420" t="s">
        <v>22</v>
      </c>
      <c r="I420" t="s">
        <v>910</v>
      </c>
    </row>
    <row r="421" spans="1:9" ht="11.25" customHeight="1">
      <c r="A421" t="s">
        <v>2248</v>
      </c>
      <c r="B421" t="s">
        <v>16</v>
      </c>
      <c r="C421" t="s">
        <v>2439</v>
      </c>
      <c r="D421" t="s">
        <v>2440</v>
      </c>
      <c r="E421" t="s">
        <v>2441</v>
      </c>
      <c r="F421" t="s">
        <v>51</v>
      </c>
      <c r="G421" t="s">
        <v>2442</v>
      </c>
      <c r="H421" t="s">
        <v>22</v>
      </c>
      <c r="I421" t="s">
        <v>910</v>
      </c>
    </row>
    <row r="422" spans="1:9" ht="11.25" customHeight="1">
      <c r="A422" t="s">
        <v>2248</v>
      </c>
      <c r="B422" t="s">
        <v>16</v>
      </c>
      <c r="C422" t="s">
        <v>2459</v>
      </c>
      <c r="D422" t="s">
        <v>2460</v>
      </c>
      <c r="E422" t="s">
        <v>2461</v>
      </c>
      <c r="F422" t="s">
        <v>51</v>
      </c>
      <c r="G422" t="s">
        <v>2462</v>
      </c>
      <c r="H422" t="s">
        <v>22</v>
      </c>
      <c r="I422" t="s">
        <v>910</v>
      </c>
    </row>
    <row r="423" spans="1:9" ht="11.25" customHeight="1">
      <c r="A423" t="s">
        <v>2248</v>
      </c>
      <c r="B423" t="s">
        <v>16</v>
      </c>
      <c r="C423" t="s">
        <v>2463</v>
      </c>
      <c r="D423" t="s">
        <v>2464</v>
      </c>
      <c r="E423" t="s">
        <v>2465</v>
      </c>
      <c r="F423" t="s">
        <v>51</v>
      </c>
      <c r="G423" t="s">
        <v>2466</v>
      </c>
      <c r="H423" t="s">
        <v>22</v>
      </c>
      <c r="I423" t="s">
        <v>910</v>
      </c>
    </row>
    <row r="424" spans="1:9" ht="11.25" customHeight="1">
      <c r="A424" t="s">
        <v>2248</v>
      </c>
      <c r="B424" t="s">
        <v>16</v>
      </c>
      <c r="C424" t="s">
        <v>2475</v>
      </c>
      <c r="D424" t="s">
        <v>2476</v>
      </c>
      <c r="E424" t="s">
        <v>2477</v>
      </c>
      <c r="F424" t="s">
        <v>51</v>
      </c>
      <c r="G424" t="s">
        <v>2478</v>
      </c>
      <c r="H424" t="s">
        <v>22</v>
      </c>
      <c r="I424" t="s">
        <v>910</v>
      </c>
    </row>
    <row r="425" spans="1:9" ht="11.25" customHeight="1">
      <c r="A425" t="s">
        <v>2248</v>
      </c>
      <c r="B425" t="s">
        <v>16</v>
      </c>
      <c r="C425" t="s">
        <v>3016</v>
      </c>
      <c r="D425" t="s">
        <v>3017</v>
      </c>
      <c r="E425" t="s">
        <v>3018</v>
      </c>
      <c r="F425" t="s">
        <v>2446</v>
      </c>
      <c r="G425" t="s">
        <v>3019</v>
      </c>
      <c r="H425" t="s">
        <v>22</v>
      </c>
      <c r="I425" t="s">
        <v>910</v>
      </c>
    </row>
    <row r="426" spans="1:9" ht="11.25" customHeight="1">
      <c r="A426" t="s">
        <v>2248</v>
      </c>
      <c r="B426" t="s">
        <v>16</v>
      </c>
      <c r="C426" t="s">
        <v>2489</v>
      </c>
      <c r="D426" t="s">
        <v>2490</v>
      </c>
      <c r="E426" t="s">
        <v>2491</v>
      </c>
      <c r="F426" t="s">
        <v>51</v>
      </c>
      <c r="G426" t="s">
        <v>2492</v>
      </c>
      <c r="H426" t="s">
        <v>22</v>
      </c>
      <c r="I426" t="s">
        <v>910</v>
      </c>
    </row>
    <row r="427" spans="1:9" ht="11.25" customHeight="1">
      <c r="A427" t="s">
        <v>2248</v>
      </c>
      <c r="B427" t="s">
        <v>16</v>
      </c>
      <c r="C427" t="s">
        <v>2500</v>
      </c>
      <c r="D427" t="s">
        <v>2501</v>
      </c>
      <c r="E427" t="s">
        <v>2502</v>
      </c>
      <c r="F427" t="s">
        <v>2503</v>
      </c>
      <c r="G427" t="s">
        <v>2504</v>
      </c>
      <c r="H427" t="s">
        <v>22</v>
      </c>
      <c r="I427" t="s">
        <v>910</v>
      </c>
    </row>
    <row r="428" spans="1:9" ht="11.25" customHeight="1">
      <c r="A428" t="s">
        <v>2248</v>
      </c>
      <c r="B428" t="s">
        <v>16</v>
      </c>
      <c r="C428" t="s">
        <v>2508</v>
      </c>
      <c r="D428" t="s">
        <v>2509</v>
      </c>
      <c r="E428" t="s">
        <v>2510</v>
      </c>
      <c r="F428" t="s">
        <v>2349</v>
      </c>
      <c r="G428" t="s">
        <v>2511</v>
      </c>
      <c r="H428" t="s">
        <v>22</v>
      </c>
      <c r="I428" t="s">
        <v>910</v>
      </c>
    </row>
    <row r="429" spans="1:9" ht="11.25" customHeight="1">
      <c r="A429" t="s">
        <v>2248</v>
      </c>
      <c r="B429" t="s">
        <v>16</v>
      </c>
      <c r="C429" t="s">
        <v>2512</v>
      </c>
      <c r="D429" t="s">
        <v>2513</v>
      </c>
      <c r="E429" t="s">
        <v>2514</v>
      </c>
      <c r="F429" t="s">
        <v>2349</v>
      </c>
      <c r="G429" t="s">
        <v>2515</v>
      </c>
      <c r="H429" t="s">
        <v>22</v>
      </c>
      <c r="I429" t="s">
        <v>910</v>
      </c>
    </row>
    <row r="430" spans="1:9" ht="11.25" customHeight="1">
      <c r="A430" t="s">
        <v>2248</v>
      </c>
      <c r="B430" t="s">
        <v>16</v>
      </c>
      <c r="C430" t="s">
        <v>2516</v>
      </c>
      <c r="D430" t="s">
        <v>2517</v>
      </c>
      <c r="E430" t="s">
        <v>2518</v>
      </c>
      <c r="F430" t="s">
        <v>2349</v>
      </c>
      <c r="G430" t="s">
        <v>2519</v>
      </c>
      <c r="H430" t="s">
        <v>22</v>
      </c>
      <c r="I430" t="s">
        <v>910</v>
      </c>
    </row>
    <row r="431" spans="1:9" ht="11.25" customHeight="1">
      <c r="A431" t="s">
        <v>2248</v>
      </c>
      <c r="B431" t="s">
        <v>16</v>
      </c>
      <c r="C431" t="s">
        <v>3020</v>
      </c>
      <c r="D431" t="s">
        <v>3021</v>
      </c>
      <c r="E431" t="s">
        <v>3022</v>
      </c>
      <c r="F431" t="s">
        <v>2357</v>
      </c>
      <c r="G431" t="s">
        <v>3023</v>
      </c>
      <c r="H431" t="s">
        <v>22</v>
      </c>
      <c r="I431" t="s">
        <v>910</v>
      </c>
    </row>
    <row r="432" spans="1:9" ht="11.25" customHeight="1">
      <c r="A432" t="s">
        <v>2248</v>
      </c>
      <c r="B432" t="s">
        <v>16</v>
      </c>
      <c r="C432" t="s">
        <v>2545</v>
      </c>
      <c r="D432" t="s">
        <v>2546</v>
      </c>
      <c r="E432" t="s">
        <v>2547</v>
      </c>
      <c r="F432" t="s">
        <v>51</v>
      </c>
      <c r="G432" t="s">
        <v>2548</v>
      </c>
      <c r="H432" t="s">
        <v>22</v>
      </c>
      <c r="I432" t="s">
        <v>910</v>
      </c>
    </row>
    <row r="433" spans="1:9" ht="11.25" customHeight="1">
      <c r="A433" t="s">
        <v>2248</v>
      </c>
      <c r="B433" t="s">
        <v>16</v>
      </c>
      <c r="C433" t="s">
        <v>2549</v>
      </c>
      <c r="D433" t="s">
        <v>2550</v>
      </c>
      <c r="E433" t="s">
        <v>2551</v>
      </c>
      <c r="F433" t="s">
        <v>51</v>
      </c>
      <c r="G433" t="s">
        <v>2552</v>
      </c>
      <c r="H433" t="s">
        <v>22</v>
      </c>
      <c r="I433" t="s">
        <v>910</v>
      </c>
    </row>
    <row r="434" spans="1:9" ht="11.25" customHeight="1">
      <c r="A434" t="s">
        <v>2248</v>
      </c>
      <c r="B434" t="s">
        <v>16</v>
      </c>
      <c r="C434" t="s">
        <v>2553</v>
      </c>
      <c r="D434" t="s">
        <v>2554</v>
      </c>
      <c r="E434" t="s">
        <v>2555</v>
      </c>
      <c r="F434" t="s">
        <v>2378</v>
      </c>
      <c r="G434" t="s">
        <v>2556</v>
      </c>
      <c r="H434" t="s">
        <v>22</v>
      </c>
      <c r="I434" t="s">
        <v>910</v>
      </c>
    </row>
    <row r="435" spans="1:9" ht="11.25" customHeight="1">
      <c r="A435" t="s">
        <v>2248</v>
      </c>
      <c r="B435" t="s">
        <v>16</v>
      </c>
      <c r="C435" t="s">
        <v>2557</v>
      </c>
      <c r="D435" t="s">
        <v>2558</v>
      </c>
      <c r="E435" t="s">
        <v>2559</v>
      </c>
      <c r="F435" t="s">
        <v>2357</v>
      </c>
      <c r="G435" t="s">
        <v>2560</v>
      </c>
      <c r="H435" t="s">
        <v>22</v>
      </c>
      <c r="I435" t="s">
        <v>910</v>
      </c>
    </row>
    <row r="436" spans="1:9" ht="11.25" customHeight="1">
      <c r="A436" t="s">
        <v>2248</v>
      </c>
      <c r="B436" t="s">
        <v>16</v>
      </c>
      <c r="C436" t="s">
        <v>3024</v>
      </c>
      <c r="D436" t="s">
        <v>3025</v>
      </c>
      <c r="E436" t="s">
        <v>2943</v>
      </c>
      <c r="F436" t="s">
        <v>3026</v>
      </c>
      <c r="G436" t="s">
        <v>22</v>
      </c>
      <c r="H436" t="s">
        <v>22</v>
      </c>
      <c r="I436" t="s">
        <v>910</v>
      </c>
    </row>
    <row r="437" spans="1:9" ht="11.25" customHeight="1">
      <c r="A437" t="s">
        <v>2248</v>
      </c>
      <c r="B437" t="s">
        <v>16</v>
      </c>
      <c r="C437" t="s">
        <v>2577</v>
      </c>
      <c r="D437" t="s">
        <v>2578</v>
      </c>
      <c r="E437" t="s">
        <v>2579</v>
      </c>
      <c r="F437" t="s">
        <v>2580</v>
      </c>
      <c r="G437" t="s">
        <v>2581</v>
      </c>
      <c r="H437" t="s">
        <v>22</v>
      </c>
      <c r="I437" t="s">
        <v>910</v>
      </c>
    </row>
    <row r="438" spans="1:9" ht="11.25" customHeight="1">
      <c r="A438" t="s">
        <v>2248</v>
      </c>
      <c r="B438" t="s">
        <v>16</v>
      </c>
      <c r="C438" t="s">
        <v>2582</v>
      </c>
      <c r="D438" t="s">
        <v>2583</v>
      </c>
      <c r="E438" t="s">
        <v>2584</v>
      </c>
      <c r="F438" t="s">
        <v>2580</v>
      </c>
      <c r="G438" t="s">
        <v>2585</v>
      </c>
      <c r="H438" t="s">
        <v>22</v>
      </c>
      <c r="I438" t="s">
        <v>910</v>
      </c>
    </row>
    <row r="439" spans="1:9" ht="11.25" customHeight="1">
      <c r="A439" t="s">
        <v>2248</v>
      </c>
      <c r="B439" t="s">
        <v>16</v>
      </c>
      <c r="C439" t="s">
        <v>3110</v>
      </c>
      <c r="D439" t="s">
        <v>3111</v>
      </c>
      <c r="E439" t="s">
        <v>3112</v>
      </c>
      <c r="F439" t="s">
        <v>2357</v>
      </c>
      <c r="G439" t="s">
        <v>3113</v>
      </c>
      <c r="H439" t="s">
        <v>22</v>
      </c>
      <c r="I439" t="s">
        <v>910</v>
      </c>
    </row>
    <row r="440" spans="1:9" ht="11.25" customHeight="1">
      <c r="A440" t="s">
        <v>2248</v>
      </c>
      <c r="B440" t="s">
        <v>16</v>
      </c>
      <c r="C440" t="s">
        <v>2590</v>
      </c>
      <c r="D440" t="s">
        <v>2591</v>
      </c>
      <c r="E440" t="s">
        <v>2592</v>
      </c>
      <c r="F440" t="s">
        <v>2357</v>
      </c>
      <c r="G440" t="s">
        <v>22</v>
      </c>
      <c r="H440" t="s">
        <v>22</v>
      </c>
      <c r="I440" t="s">
        <v>910</v>
      </c>
    </row>
    <row r="441" spans="1:9" ht="11.25" customHeight="1">
      <c r="A441" t="s">
        <v>2248</v>
      </c>
      <c r="B441" t="s">
        <v>16</v>
      </c>
      <c r="C441" t="s">
        <v>2593</v>
      </c>
      <c r="D441" t="s">
        <v>2594</v>
      </c>
      <c r="E441" t="s">
        <v>2595</v>
      </c>
      <c r="F441" t="s">
        <v>2257</v>
      </c>
      <c r="G441" t="s">
        <v>2596</v>
      </c>
      <c r="H441" t="s">
        <v>22</v>
      </c>
      <c r="I441" t="s">
        <v>910</v>
      </c>
    </row>
    <row r="442" spans="1:9" ht="11.25" customHeight="1">
      <c r="A442" t="s">
        <v>2248</v>
      </c>
      <c r="B442" t="s">
        <v>16</v>
      </c>
      <c r="C442" t="s">
        <v>3035</v>
      </c>
      <c r="D442" t="s">
        <v>3036</v>
      </c>
      <c r="E442" t="s">
        <v>3037</v>
      </c>
      <c r="F442" t="s">
        <v>2357</v>
      </c>
      <c r="G442" t="s">
        <v>22</v>
      </c>
      <c r="H442" t="s">
        <v>22</v>
      </c>
      <c r="I442" t="s">
        <v>910</v>
      </c>
    </row>
    <row r="443" spans="1:9" ht="11.25" customHeight="1">
      <c r="A443" t="s">
        <v>2248</v>
      </c>
      <c r="B443" t="s">
        <v>16</v>
      </c>
      <c r="C443" t="s">
        <v>2601</v>
      </c>
      <c r="D443" t="s">
        <v>2602</v>
      </c>
      <c r="E443" t="s">
        <v>2603</v>
      </c>
      <c r="F443" t="s">
        <v>51</v>
      </c>
      <c r="G443" t="s">
        <v>2604</v>
      </c>
      <c r="H443" t="s">
        <v>22</v>
      </c>
      <c r="I443" t="s">
        <v>910</v>
      </c>
    </row>
    <row r="444" spans="1:9" ht="11.25" customHeight="1">
      <c r="A444" t="s">
        <v>2248</v>
      </c>
      <c r="B444" t="s">
        <v>16</v>
      </c>
      <c r="C444" t="s">
        <v>3038</v>
      </c>
      <c r="D444" t="s">
        <v>3039</v>
      </c>
      <c r="E444" t="s">
        <v>3040</v>
      </c>
      <c r="F444" t="s">
        <v>2257</v>
      </c>
      <c r="G444" t="s">
        <v>3041</v>
      </c>
      <c r="H444" t="s">
        <v>3042</v>
      </c>
      <c r="I444" t="s">
        <v>910</v>
      </c>
    </row>
    <row r="445" spans="1:9" ht="11.25" customHeight="1">
      <c r="A445" t="s">
        <v>2248</v>
      </c>
      <c r="B445" t="s">
        <v>16</v>
      </c>
      <c r="C445" t="s">
        <v>3043</v>
      </c>
      <c r="D445" t="s">
        <v>3044</v>
      </c>
      <c r="E445" t="s">
        <v>3045</v>
      </c>
      <c r="F445" t="s">
        <v>2283</v>
      </c>
      <c r="G445" t="s">
        <v>3046</v>
      </c>
      <c r="H445" t="s">
        <v>22</v>
      </c>
      <c r="I445" t="s">
        <v>910</v>
      </c>
    </row>
    <row r="446" spans="1:9" ht="11.25" customHeight="1">
      <c r="A446" t="s">
        <v>2248</v>
      </c>
      <c r="B446" t="s">
        <v>16</v>
      </c>
      <c r="C446" t="s">
        <v>3047</v>
      </c>
      <c r="D446" t="s">
        <v>3048</v>
      </c>
      <c r="E446" t="s">
        <v>3049</v>
      </c>
      <c r="F446" t="s">
        <v>2257</v>
      </c>
      <c r="G446" t="s">
        <v>22</v>
      </c>
      <c r="H446" t="s">
        <v>22</v>
      </c>
      <c r="I446" t="s">
        <v>910</v>
      </c>
    </row>
    <row r="447" spans="1:9" ht="11.25" customHeight="1">
      <c r="A447" t="s">
        <v>2248</v>
      </c>
      <c r="B447" t="s">
        <v>16</v>
      </c>
      <c r="C447" t="s">
        <v>3057</v>
      </c>
      <c r="D447" t="s">
        <v>3058</v>
      </c>
      <c r="E447" t="s">
        <v>3059</v>
      </c>
      <c r="F447" t="s">
        <v>51</v>
      </c>
      <c r="G447" t="s">
        <v>2605</v>
      </c>
      <c r="H447" t="s">
        <v>22</v>
      </c>
      <c r="I447" t="s">
        <v>910</v>
      </c>
    </row>
    <row r="448" spans="1:9" ht="11.25" customHeight="1">
      <c r="A448" t="s">
        <v>2248</v>
      </c>
      <c r="B448" t="s">
        <v>16</v>
      </c>
      <c r="C448" t="s">
        <v>3114</v>
      </c>
      <c r="D448" t="s">
        <v>3115</v>
      </c>
      <c r="E448" t="s">
        <v>3116</v>
      </c>
      <c r="F448" t="s">
        <v>51</v>
      </c>
      <c r="G448" t="s">
        <v>2605</v>
      </c>
      <c r="H448" t="s">
        <v>22</v>
      </c>
      <c r="I448" t="s">
        <v>910</v>
      </c>
    </row>
    <row r="449" spans="1:9" ht="11.25" customHeight="1">
      <c r="A449" t="s">
        <v>2248</v>
      </c>
      <c r="B449" t="s">
        <v>16</v>
      </c>
      <c r="C449" t="s">
        <v>2606</v>
      </c>
      <c r="D449" t="s">
        <v>2607</v>
      </c>
      <c r="E449" t="s">
        <v>2608</v>
      </c>
      <c r="F449" t="s">
        <v>2257</v>
      </c>
      <c r="G449" t="s">
        <v>2609</v>
      </c>
      <c r="H449" t="s">
        <v>22</v>
      </c>
      <c r="I449" t="s">
        <v>910</v>
      </c>
    </row>
    <row r="450" spans="1:9" ht="11.25" customHeight="1">
      <c r="A450" t="s">
        <v>2248</v>
      </c>
      <c r="B450" t="s">
        <v>16</v>
      </c>
      <c r="C450" t="s">
        <v>2617</v>
      </c>
      <c r="D450" t="s">
        <v>2618</v>
      </c>
      <c r="E450" t="s">
        <v>2619</v>
      </c>
      <c r="F450" t="s">
        <v>51</v>
      </c>
      <c r="G450" t="s">
        <v>2620</v>
      </c>
      <c r="H450" t="s">
        <v>22</v>
      </c>
      <c r="I450" t="s">
        <v>910</v>
      </c>
    </row>
    <row r="451" spans="1:9" ht="11.25" customHeight="1">
      <c r="A451" t="s">
        <v>2248</v>
      </c>
      <c r="B451" t="s">
        <v>16</v>
      </c>
      <c r="C451" t="s">
        <v>2633</v>
      </c>
      <c r="D451" t="s">
        <v>2634</v>
      </c>
      <c r="E451" t="s">
        <v>2635</v>
      </c>
      <c r="F451" t="s">
        <v>51</v>
      </c>
      <c r="G451" t="s">
        <v>2636</v>
      </c>
      <c r="H451" t="s">
        <v>2637</v>
      </c>
      <c r="I451" t="s">
        <v>910</v>
      </c>
    </row>
    <row r="452" spans="1:9" ht="11.25" customHeight="1">
      <c r="A452" t="s">
        <v>2248</v>
      </c>
      <c r="B452" t="s">
        <v>16</v>
      </c>
      <c r="C452" t="s">
        <v>3117</v>
      </c>
      <c r="D452" t="s">
        <v>3118</v>
      </c>
      <c r="E452" t="s">
        <v>3119</v>
      </c>
      <c r="F452" t="s">
        <v>2257</v>
      </c>
      <c r="G452" t="s">
        <v>3120</v>
      </c>
      <c r="H452" t="s">
        <v>22</v>
      </c>
      <c r="I452" t="s">
        <v>910</v>
      </c>
    </row>
    <row r="453" spans="1:9" ht="11.25" customHeight="1">
      <c r="A453" t="s">
        <v>2248</v>
      </c>
      <c r="B453" t="s">
        <v>16</v>
      </c>
      <c r="C453" t="s">
        <v>3064</v>
      </c>
      <c r="D453" t="s">
        <v>3065</v>
      </c>
      <c r="E453" t="s">
        <v>3066</v>
      </c>
      <c r="F453" t="s">
        <v>2335</v>
      </c>
      <c r="G453" t="s">
        <v>22</v>
      </c>
      <c r="H453" t="s">
        <v>22</v>
      </c>
      <c r="I453" t="s">
        <v>910</v>
      </c>
    </row>
    <row r="454" spans="1:9" ht="11.25" customHeight="1">
      <c r="A454" t="s">
        <v>2248</v>
      </c>
      <c r="B454" t="s">
        <v>16</v>
      </c>
      <c r="C454" t="s">
        <v>2646</v>
      </c>
      <c r="D454" t="s">
        <v>2647</v>
      </c>
      <c r="E454" t="s">
        <v>2648</v>
      </c>
      <c r="F454" t="s">
        <v>2257</v>
      </c>
      <c r="G454" t="s">
        <v>2649</v>
      </c>
      <c r="H454" t="s">
        <v>22</v>
      </c>
      <c r="I454" t="s">
        <v>910</v>
      </c>
    </row>
    <row r="455" spans="1:9" ht="11.25" customHeight="1">
      <c r="A455" t="s">
        <v>2248</v>
      </c>
      <c r="B455" t="s">
        <v>16</v>
      </c>
      <c r="C455" t="s">
        <v>2654</v>
      </c>
      <c r="D455" t="s">
        <v>2655</v>
      </c>
      <c r="E455" t="s">
        <v>2656</v>
      </c>
      <c r="F455" t="s">
        <v>2257</v>
      </c>
      <c r="G455" t="s">
        <v>2657</v>
      </c>
      <c r="H455" t="s">
        <v>22</v>
      </c>
      <c r="I455" t="s">
        <v>910</v>
      </c>
    </row>
    <row r="456" spans="1:9" ht="11.25" customHeight="1">
      <c r="A456" t="s">
        <v>2248</v>
      </c>
      <c r="B456" t="s">
        <v>16</v>
      </c>
      <c r="C456" t="s">
        <v>2658</v>
      </c>
      <c r="D456" t="s">
        <v>2659</v>
      </c>
      <c r="E456" t="s">
        <v>2660</v>
      </c>
      <c r="F456" t="s">
        <v>51</v>
      </c>
      <c r="G456" t="s">
        <v>2661</v>
      </c>
      <c r="H456" t="s">
        <v>22</v>
      </c>
      <c r="I456" t="s">
        <v>910</v>
      </c>
    </row>
    <row r="457" spans="1:9" ht="11.25" customHeight="1">
      <c r="A457" t="s">
        <v>2248</v>
      </c>
      <c r="B457" t="s">
        <v>16</v>
      </c>
      <c r="C457" t="s">
        <v>2666</v>
      </c>
      <c r="D457" t="s">
        <v>2667</v>
      </c>
      <c r="E457" t="s">
        <v>2668</v>
      </c>
      <c r="F457" t="s">
        <v>2257</v>
      </c>
      <c r="G457" t="s">
        <v>2669</v>
      </c>
      <c r="H457" t="s">
        <v>22</v>
      </c>
      <c r="I457" t="s">
        <v>910</v>
      </c>
    </row>
    <row r="458" spans="1:9" ht="11.25" customHeight="1">
      <c r="A458" t="s">
        <v>2248</v>
      </c>
      <c r="B458" t="s">
        <v>16</v>
      </c>
      <c r="C458" t="s">
        <v>2670</v>
      </c>
      <c r="D458" t="s">
        <v>2671</v>
      </c>
      <c r="E458" t="s">
        <v>2672</v>
      </c>
      <c r="F458" t="s">
        <v>51</v>
      </c>
      <c r="G458" t="s">
        <v>22</v>
      </c>
      <c r="H458" t="s">
        <v>22</v>
      </c>
      <c r="I458" t="s">
        <v>910</v>
      </c>
    </row>
    <row r="459" spans="1:9" ht="11.25" customHeight="1">
      <c r="A459" t="s">
        <v>2248</v>
      </c>
      <c r="B459" t="s">
        <v>16</v>
      </c>
      <c r="C459" t="s">
        <v>2673</v>
      </c>
      <c r="D459" t="s">
        <v>2674</v>
      </c>
      <c r="E459" t="s">
        <v>2675</v>
      </c>
      <c r="F459" t="s">
        <v>51</v>
      </c>
      <c r="G459" t="s">
        <v>2676</v>
      </c>
      <c r="H459" t="s">
        <v>22</v>
      </c>
      <c r="I459" t="s">
        <v>910</v>
      </c>
    </row>
    <row r="460" spans="1:9" ht="11.25" customHeight="1">
      <c r="A460" t="s">
        <v>2248</v>
      </c>
      <c r="B460" t="s">
        <v>16</v>
      </c>
      <c r="C460" t="s">
        <v>2677</v>
      </c>
      <c r="D460" t="s">
        <v>2674</v>
      </c>
      <c r="E460" t="s">
        <v>2678</v>
      </c>
      <c r="F460" t="s">
        <v>51</v>
      </c>
      <c r="G460" t="s">
        <v>2679</v>
      </c>
      <c r="H460" t="s">
        <v>22</v>
      </c>
      <c r="I460" t="s">
        <v>910</v>
      </c>
    </row>
    <row r="461" spans="1:9" ht="11.25" customHeight="1">
      <c r="A461" t="s">
        <v>2248</v>
      </c>
      <c r="B461" t="s">
        <v>16</v>
      </c>
      <c r="C461" t="s">
        <v>2680</v>
      </c>
      <c r="D461" t="s">
        <v>2681</v>
      </c>
      <c r="E461" t="s">
        <v>2682</v>
      </c>
      <c r="F461" t="s">
        <v>51</v>
      </c>
      <c r="G461" t="s">
        <v>2683</v>
      </c>
      <c r="H461" t="s">
        <v>22</v>
      </c>
      <c r="I461" t="s">
        <v>910</v>
      </c>
    </row>
    <row r="462" spans="1:9" ht="11.25" customHeight="1">
      <c r="A462" t="s">
        <v>2248</v>
      </c>
      <c r="B462" t="s">
        <v>16</v>
      </c>
      <c r="C462" t="s">
        <v>2692</v>
      </c>
      <c r="D462" t="s">
        <v>2693</v>
      </c>
      <c r="E462" t="s">
        <v>2694</v>
      </c>
      <c r="F462" t="s">
        <v>2283</v>
      </c>
      <c r="G462" t="s">
        <v>2695</v>
      </c>
      <c r="H462" t="s">
        <v>22</v>
      </c>
      <c r="I462" t="s">
        <v>910</v>
      </c>
    </row>
    <row r="463" spans="1:9" ht="11.25" customHeight="1">
      <c r="A463" t="s">
        <v>2248</v>
      </c>
      <c r="B463" t="s">
        <v>16</v>
      </c>
      <c r="C463" t="s">
        <v>2696</v>
      </c>
      <c r="D463" t="s">
        <v>2697</v>
      </c>
      <c r="E463" t="s">
        <v>2698</v>
      </c>
      <c r="F463" t="s">
        <v>2422</v>
      </c>
      <c r="G463" t="s">
        <v>2699</v>
      </c>
      <c r="H463" t="s">
        <v>22</v>
      </c>
      <c r="I463" t="s">
        <v>910</v>
      </c>
    </row>
    <row r="464" spans="1:9" ht="11.25" customHeight="1">
      <c r="A464" t="s">
        <v>2248</v>
      </c>
      <c r="B464" t="s">
        <v>16</v>
      </c>
      <c r="C464" t="s">
        <v>2700</v>
      </c>
      <c r="D464" t="s">
        <v>2701</v>
      </c>
      <c r="E464" t="s">
        <v>2702</v>
      </c>
      <c r="F464" t="s">
        <v>2703</v>
      </c>
      <c r="G464" t="s">
        <v>2704</v>
      </c>
      <c r="H464" t="s">
        <v>22</v>
      </c>
      <c r="I464" t="s">
        <v>910</v>
      </c>
    </row>
    <row r="465" spans="1:9" ht="11.25" customHeight="1">
      <c r="A465" t="s">
        <v>2248</v>
      </c>
      <c r="B465" t="s">
        <v>16</v>
      </c>
      <c r="C465" t="s">
        <v>2705</v>
      </c>
      <c r="D465" t="s">
        <v>2706</v>
      </c>
      <c r="E465" t="s">
        <v>2707</v>
      </c>
      <c r="F465" t="s">
        <v>2708</v>
      </c>
      <c r="G465" t="s">
        <v>2709</v>
      </c>
      <c r="H465" t="s">
        <v>22</v>
      </c>
      <c r="I465" t="s">
        <v>910</v>
      </c>
    </row>
    <row r="466" spans="1:9" ht="11.25" customHeight="1">
      <c r="A466" t="s">
        <v>2248</v>
      </c>
      <c r="B466" t="s">
        <v>16</v>
      </c>
      <c r="C466" t="s">
        <v>2710</v>
      </c>
      <c r="D466" t="s">
        <v>2711</v>
      </c>
      <c r="E466" t="s">
        <v>2712</v>
      </c>
      <c r="F466" t="s">
        <v>2257</v>
      </c>
      <c r="G466" t="s">
        <v>2713</v>
      </c>
      <c r="H466" t="s">
        <v>22</v>
      </c>
      <c r="I466" t="s">
        <v>910</v>
      </c>
    </row>
    <row r="467" spans="1:9" ht="11.25" customHeight="1">
      <c r="A467" t="s">
        <v>2248</v>
      </c>
      <c r="B467" t="s">
        <v>16</v>
      </c>
      <c r="C467" t="s">
        <v>3075</v>
      </c>
      <c r="D467" t="s">
        <v>3076</v>
      </c>
      <c r="E467" t="s">
        <v>3077</v>
      </c>
      <c r="F467" t="s">
        <v>51</v>
      </c>
      <c r="G467" t="s">
        <v>3078</v>
      </c>
      <c r="H467" t="s">
        <v>22</v>
      </c>
      <c r="I467" t="s">
        <v>910</v>
      </c>
    </row>
    <row r="468" spans="1:9" ht="11.25" customHeight="1">
      <c r="A468" t="s">
        <v>2248</v>
      </c>
      <c r="B468" t="s">
        <v>16</v>
      </c>
      <c r="C468" t="s">
        <v>2718</v>
      </c>
      <c r="D468" t="s">
        <v>2719</v>
      </c>
      <c r="E468" t="s">
        <v>2720</v>
      </c>
      <c r="F468" t="s">
        <v>2257</v>
      </c>
      <c r="G468" t="s">
        <v>2721</v>
      </c>
      <c r="H468" t="s">
        <v>2624</v>
      </c>
      <c r="I468" t="s">
        <v>910</v>
      </c>
    </row>
    <row r="469" spans="1:9" ht="11.25" customHeight="1">
      <c r="A469" t="s">
        <v>2248</v>
      </c>
      <c r="B469" t="s">
        <v>16</v>
      </c>
      <c r="C469" t="s">
        <v>2722</v>
      </c>
      <c r="D469" t="s">
        <v>2719</v>
      </c>
      <c r="E469" t="s">
        <v>2723</v>
      </c>
      <c r="F469" t="s">
        <v>2257</v>
      </c>
      <c r="G469" t="s">
        <v>2724</v>
      </c>
      <c r="H469" t="s">
        <v>22</v>
      </c>
      <c r="I469" t="s">
        <v>910</v>
      </c>
    </row>
    <row r="470" spans="1:9" ht="11.25" customHeight="1">
      <c r="A470" t="s">
        <v>2248</v>
      </c>
      <c r="B470" t="s">
        <v>16</v>
      </c>
      <c r="C470" t="s">
        <v>2733</v>
      </c>
      <c r="D470" t="s">
        <v>2734</v>
      </c>
      <c r="E470" t="s">
        <v>2735</v>
      </c>
      <c r="F470" t="s">
        <v>2252</v>
      </c>
      <c r="G470" t="s">
        <v>22</v>
      </c>
      <c r="H470" t="s">
        <v>22</v>
      </c>
      <c r="I470" t="s">
        <v>910</v>
      </c>
    </row>
    <row r="471" spans="1:9" ht="11.25" customHeight="1">
      <c r="A471" t="s">
        <v>2248</v>
      </c>
      <c r="B471" t="s">
        <v>16</v>
      </c>
      <c r="C471" t="s">
        <v>3079</v>
      </c>
      <c r="D471" t="s">
        <v>3080</v>
      </c>
      <c r="E471" t="s">
        <v>3081</v>
      </c>
      <c r="F471" t="s">
        <v>2446</v>
      </c>
      <c r="G471" t="s">
        <v>3082</v>
      </c>
      <c r="H471" t="s">
        <v>22</v>
      </c>
      <c r="I471" t="s">
        <v>910</v>
      </c>
    </row>
    <row r="472" spans="1:9" ht="11.25" customHeight="1">
      <c r="A472" t="s">
        <v>2248</v>
      </c>
      <c r="B472" t="s">
        <v>16</v>
      </c>
      <c r="C472" t="s">
        <v>2781</v>
      </c>
      <c r="D472" t="s">
        <v>2782</v>
      </c>
      <c r="E472" t="s">
        <v>2783</v>
      </c>
      <c r="F472" t="s">
        <v>51</v>
      </c>
      <c r="G472" t="s">
        <v>2784</v>
      </c>
      <c r="H472" t="s">
        <v>22</v>
      </c>
      <c r="I472" t="s">
        <v>910</v>
      </c>
    </row>
    <row r="473" spans="1:9" ht="11.25" customHeight="1">
      <c r="A473" t="s">
        <v>2248</v>
      </c>
      <c r="B473" t="s">
        <v>16</v>
      </c>
      <c r="C473" t="s">
        <v>2796</v>
      </c>
      <c r="D473" t="s">
        <v>2797</v>
      </c>
      <c r="E473" t="s">
        <v>2798</v>
      </c>
      <c r="F473" t="s">
        <v>2257</v>
      </c>
      <c r="G473" t="s">
        <v>2799</v>
      </c>
      <c r="H473" t="s">
        <v>22</v>
      </c>
      <c r="I473" t="s">
        <v>910</v>
      </c>
    </row>
    <row r="474" spans="1:9" ht="11.25" customHeight="1">
      <c r="A474" t="s">
        <v>2248</v>
      </c>
      <c r="B474" t="s">
        <v>16</v>
      </c>
      <c r="C474" t="s">
        <v>2800</v>
      </c>
      <c r="D474" t="s">
        <v>2801</v>
      </c>
      <c r="E474" t="s">
        <v>2802</v>
      </c>
      <c r="F474" t="s">
        <v>2257</v>
      </c>
      <c r="G474" t="s">
        <v>2803</v>
      </c>
      <c r="H474" t="s">
        <v>22</v>
      </c>
      <c r="I474" t="s">
        <v>910</v>
      </c>
    </row>
    <row r="475" spans="1:9" ht="11.25" customHeight="1">
      <c r="A475" t="s">
        <v>2248</v>
      </c>
      <c r="B475" t="s">
        <v>16</v>
      </c>
      <c r="C475" t="s">
        <v>2804</v>
      </c>
      <c r="D475" t="s">
        <v>2805</v>
      </c>
      <c r="E475" t="s">
        <v>2806</v>
      </c>
      <c r="F475" t="s">
        <v>51</v>
      </c>
      <c r="G475" t="s">
        <v>2807</v>
      </c>
      <c r="H475" t="s">
        <v>22</v>
      </c>
      <c r="I475" t="s">
        <v>910</v>
      </c>
    </row>
    <row r="476" spans="1:9" ht="11.25" customHeight="1">
      <c r="A476" t="s">
        <v>2248</v>
      </c>
      <c r="B476" t="s">
        <v>16</v>
      </c>
      <c r="C476" t="s">
        <v>2808</v>
      </c>
      <c r="D476" t="s">
        <v>2809</v>
      </c>
      <c r="E476" t="s">
        <v>2810</v>
      </c>
      <c r="F476" t="s">
        <v>2257</v>
      </c>
      <c r="G476" t="s">
        <v>2811</v>
      </c>
      <c r="H476" t="s">
        <v>22</v>
      </c>
      <c r="I476" t="s">
        <v>910</v>
      </c>
    </row>
    <row r="477" spans="1:9" ht="11.25" customHeight="1">
      <c r="A477" t="s">
        <v>2248</v>
      </c>
      <c r="B477" t="s">
        <v>16</v>
      </c>
      <c r="C477" t="s">
        <v>2819</v>
      </c>
      <c r="D477" t="s">
        <v>2820</v>
      </c>
      <c r="E477" t="s">
        <v>2821</v>
      </c>
      <c r="F477" t="s">
        <v>2257</v>
      </c>
      <c r="G477" t="s">
        <v>2822</v>
      </c>
      <c r="H477" t="s">
        <v>22</v>
      </c>
      <c r="I477" t="s">
        <v>910</v>
      </c>
    </row>
    <row r="478" spans="1:9" ht="11.25" customHeight="1">
      <c r="A478" t="s">
        <v>2248</v>
      </c>
      <c r="B478" t="s">
        <v>16</v>
      </c>
      <c r="C478" t="s">
        <v>2823</v>
      </c>
      <c r="D478" t="s">
        <v>2824</v>
      </c>
      <c r="E478" t="s">
        <v>2825</v>
      </c>
      <c r="F478" t="s">
        <v>2252</v>
      </c>
      <c r="G478" t="s">
        <v>2826</v>
      </c>
      <c r="H478" t="s">
        <v>22</v>
      </c>
      <c r="I478" t="s">
        <v>910</v>
      </c>
    </row>
    <row r="479" spans="1:9" ht="11.25" customHeight="1">
      <c r="A479" t="s">
        <v>2248</v>
      </c>
      <c r="B479" t="s">
        <v>16</v>
      </c>
      <c r="C479" t="s">
        <v>3083</v>
      </c>
      <c r="D479" t="s">
        <v>3084</v>
      </c>
      <c r="E479" t="s">
        <v>3085</v>
      </c>
      <c r="F479" t="s">
        <v>2349</v>
      </c>
      <c r="G479" t="s">
        <v>3086</v>
      </c>
      <c r="H479" t="s">
        <v>22</v>
      </c>
      <c r="I479" t="s">
        <v>910</v>
      </c>
    </row>
    <row r="480" spans="1:9" ht="11.25" customHeight="1">
      <c r="A480" t="s">
        <v>2248</v>
      </c>
      <c r="B480" t="s">
        <v>16</v>
      </c>
      <c r="C480" t="s">
        <v>2831</v>
      </c>
      <c r="D480" t="s">
        <v>2832</v>
      </c>
      <c r="E480" t="s">
        <v>2833</v>
      </c>
      <c r="F480" t="s">
        <v>2503</v>
      </c>
      <c r="G480" t="s">
        <v>22</v>
      </c>
      <c r="H480" t="s">
        <v>22</v>
      </c>
      <c r="I480" t="s">
        <v>910</v>
      </c>
    </row>
    <row r="481" spans="1:9" ht="11.25" customHeight="1">
      <c r="A481" t="s">
        <v>2248</v>
      </c>
      <c r="B481" t="s">
        <v>16</v>
      </c>
      <c r="C481" t="s">
        <v>3121</v>
      </c>
      <c r="D481" t="s">
        <v>3122</v>
      </c>
      <c r="E481" t="s">
        <v>3123</v>
      </c>
      <c r="F481" t="s">
        <v>2257</v>
      </c>
      <c r="G481" t="s">
        <v>3124</v>
      </c>
      <c r="H481" t="s">
        <v>22</v>
      </c>
      <c r="I481" t="s">
        <v>910</v>
      </c>
    </row>
    <row r="482" spans="1:9" ht="11.25" customHeight="1">
      <c r="A482" t="s">
        <v>2248</v>
      </c>
      <c r="B482" t="s">
        <v>16</v>
      </c>
      <c r="C482" t="s">
        <v>2852</v>
      </c>
      <c r="D482" t="s">
        <v>2853</v>
      </c>
      <c r="E482" t="s">
        <v>2854</v>
      </c>
      <c r="F482" t="s">
        <v>2349</v>
      </c>
      <c r="G482" t="s">
        <v>2855</v>
      </c>
      <c r="H482" t="s">
        <v>22</v>
      </c>
      <c r="I482" t="s">
        <v>910</v>
      </c>
    </row>
    <row r="483" spans="1:9" ht="11.25" customHeight="1">
      <c r="A483" t="s">
        <v>2248</v>
      </c>
      <c r="B483" t="s">
        <v>16</v>
      </c>
      <c r="C483" t="s">
        <v>2856</v>
      </c>
      <c r="D483" t="s">
        <v>2857</v>
      </c>
      <c r="E483" t="s">
        <v>2858</v>
      </c>
      <c r="F483" t="s">
        <v>51</v>
      </c>
      <c r="G483" t="s">
        <v>2859</v>
      </c>
      <c r="H483" t="s">
        <v>22</v>
      </c>
      <c r="I483" t="s">
        <v>910</v>
      </c>
    </row>
    <row r="484" spans="1:9" ht="11.25" customHeight="1">
      <c r="A484" t="s">
        <v>2248</v>
      </c>
      <c r="B484" t="s">
        <v>16</v>
      </c>
      <c r="C484" t="s">
        <v>2864</v>
      </c>
      <c r="D484" t="s">
        <v>2865</v>
      </c>
      <c r="E484" t="s">
        <v>2866</v>
      </c>
      <c r="F484" t="s">
        <v>51</v>
      </c>
      <c r="G484" t="s">
        <v>2867</v>
      </c>
      <c r="H484" t="s">
        <v>22</v>
      </c>
      <c r="I484" t="s">
        <v>910</v>
      </c>
    </row>
    <row r="485" spans="1:9" ht="11.25" customHeight="1">
      <c r="A485" t="s">
        <v>2248</v>
      </c>
      <c r="B485" t="s">
        <v>16</v>
      </c>
      <c r="C485" t="s">
        <v>2876</v>
      </c>
      <c r="D485" t="s">
        <v>2877</v>
      </c>
      <c r="E485" t="s">
        <v>2878</v>
      </c>
      <c r="F485" t="s">
        <v>2257</v>
      </c>
      <c r="G485" t="s">
        <v>2879</v>
      </c>
      <c r="H485" t="s">
        <v>22</v>
      </c>
      <c r="I485" t="s">
        <v>910</v>
      </c>
    </row>
    <row r="486" spans="1:9" ht="11.25" customHeight="1">
      <c r="A486" t="s">
        <v>2248</v>
      </c>
      <c r="B486" t="s">
        <v>16</v>
      </c>
      <c r="C486" t="s">
        <v>2888</v>
      </c>
      <c r="D486" t="s">
        <v>2889</v>
      </c>
      <c r="E486" t="s">
        <v>2890</v>
      </c>
      <c r="F486" t="s">
        <v>2257</v>
      </c>
      <c r="G486" t="s">
        <v>2891</v>
      </c>
      <c r="H486" t="s">
        <v>22</v>
      </c>
      <c r="I486" t="s">
        <v>910</v>
      </c>
    </row>
    <row r="487" spans="1:9" ht="11.25" customHeight="1">
      <c r="A487" t="s">
        <v>2248</v>
      </c>
      <c r="B487" t="s">
        <v>16</v>
      </c>
      <c r="C487" t="s">
        <v>3098</v>
      </c>
      <c r="D487" t="s">
        <v>3099</v>
      </c>
      <c r="E487" t="s">
        <v>3100</v>
      </c>
      <c r="F487" t="s">
        <v>51</v>
      </c>
      <c r="G487" t="s">
        <v>3101</v>
      </c>
      <c r="H487" t="s">
        <v>22</v>
      </c>
      <c r="I487" t="s">
        <v>910</v>
      </c>
    </row>
    <row r="488" spans="1:9" ht="11.25" customHeight="1">
      <c r="A488" t="s">
        <v>2248</v>
      </c>
      <c r="B488" t="s">
        <v>16</v>
      </c>
      <c r="C488" t="s">
        <v>2896</v>
      </c>
      <c r="D488" t="s">
        <v>2897</v>
      </c>
      <c r="E488" t="s">
        <v>2898</v>
      </c>
      <c r="F488" t="s">
        <v>2257</v>
      </c>
      <c r="G488" t="s">
        <v>2899</v>
      </c>
      <c r="H488" t="s">
        <v>22</v>
      </c>
      <c r="I488" t="s">
        <v>910</v>
      </c>
    </row>
    <row r="489" spans="1:9" ht="11.25" customHeight="1">
      <c r="A489" t="s">
        <v>2248</v>
      </c>
      <c r="B489" t="s">
        <v>16</v>
      </c>
      <c r="C489" t="s">
        <v>2900</v>
      </c>
      <c r="D489" t="s">
        <v>2901</v>
      </c>
      <c r="E489" t="s">
        <v>2902</v>
      </c>
      <c r="F489" t="s">
        <v>2257</v>
      </c>
      <c r="G489" t="s">
        <v>2903</v>
      </c>
      <c r="H489" t="s">
        <v>22</v>
      </c>
      <c r="I489" t="s">
        <v>910</v>
      </c>
    </row>
    <row r="490" spans="1:9" ht="11.25" customHeight="1">
      <c r="A490" t="s">
        <v>2248</v>
      </c>
      <c r="B490" t="s">
        <v>16</v>
      </c>
      <c r="C490" t="s">
        <v>2912</v>
      </c>
      <c r="D490" t="s">
        <v>2913</v>
      </c>
      <c r="E490" t="s">
        <v>2914</v>
      </c>
      <c r="F490" t="s">
        <v>2915</v>
      </c>
      <c r="G490" t="s">
        <v>2916</v>
      </c>
      <c r="H490" t="s">
        <v>22</v>
      </c>
      <c r="I490" t="s">
        <v>910</v>
      </c>
    </row>
    <row r="491" spans="1:9" ht="11.25" customHeight="1">
      <c r="A491" t="s">
        <v>2248</v>
      </c>
      <c r="B491" t="s">
        <v>16</v>
      </c>
      <c r="C491" t="s">
        <v>2917</v>
      </c>
      <c r="D491" t="s">
        <v>2918</v>
      </c>
      <c r="E491" t="s">
        <v>2919</v>
      </c>
      <c r="F491" t="s">
        <v>2920</v>
      </c>
      <c r="G491" t="s">
        <v>22</v>
      </c>
      <c r="H491" t="s">
        <v>22</v>
      </c>
      <c r="I491" t="s">
        <v>910</v>
      </c>
    </row>
    <row r="492" spans="1:9" ht="11.25" customHeight="1">
      <c r="A492" t="s">
        <v>2248</v>
      </c>
      <c r="B492" t="s">
        <v>16</v>
      </c>
      <c r="C492" t="s">
        <v>22</v>
      </c>
      <c r="D492" t="s">
        <v>2321</v>
      </c>
      <c r="E492" t="s">
        <v>2322</v>
      </c>
      <c r="F492" t="s">
        <v>2257</v>
      </c>
      <c r="G492" t="s">
        <v>22</v>
      </c>
      <c r="H492" t="s">
        <v>22</v>
      </c>
      <c r="I492" t="s">
        <v>1622</v>
      </c>
    </row>
    <row r="493" spans="1:9" ht="11.25" customHeight="1">
      <c r="A493" t="s">
        <v>2248</v>
      </c>
      <c r="B493" t="s">
        <v>16</v>
      </c>
      <c r="C493" t="s">
        <v>3125</v>
      </c>
      <c r="D493" t="s">
        <v>3126</v>
      </c>
      <c r="E493" t="s">
        <v>3127</v>
      </c>
      <c r="F493" t="s">
        <v>578</v>
      </c>
      <c r="G493" t="s">
        <v>3128</v>
      </c>
      <c r="H493" t="s">
        <v>22</v>
      </c>
      <c r="I493" t="s">
        <v>1622</v>
      </c>
    </row>
    <row r="494" spans="1:9" ht="11.25" customHeight="1">
      <c r="A494" t="s">
        <v>2248</v>
      </c>
      <c r="B494" t="s">
        <v>16</v>
      </c>
      <c r="C494" t="s">
        <v>2984</v>
      </c>
      <c r="D494" t="s">
        <v>2985</v>
      </c>
      <c r="E494" t="s">
        <v>2986</v>
      </c>
      <c r="F494" t="s">
        <v>2580</v>
      </c>
      <c r="G494" t="s">
        <v>2987</v>
      </c>
      <c r="H494" t="s">
        <v>22</v>
      </c>
      <c r="I494" t="s">
        <v>1622</v>
      </c>
    </row>
    <row r="495" spans="1:9" ht="11.25" customHeight="1">
      <c r="A495" t="s">
        <v>2248</v>
      </c>
      <c r="B495" t="s">
        <v>16</v>
      </c>
      <c r="C495" t="s">
        <v>2351</v>
      </c>
      <c r="D495" t="s">
        <v>2352</v>
      </c>
      <c r="E495" t="s">
        <v>2353</v>
      </c>
      <c r="F495" t="s">
        <v>2252</v>
      </c>
      <c r="G495" t="s">
        <v>2253</v>
      </c>
      <c r="H495" t="s">
        <v>22</v>
      </c>
      <c r="I495" t="s">
        <v>1622</v>
      </c>
    </row>
    <row r="496" spans="1:9" ht="11.25" customHeight="1">
      <c r="A496" t="s">
        <v>2248</v>
      </c>
      <c r="B496" t="s">
        <v>16</v>
      </c>
      <c r="C496" t="s">
        <v>2411</v>
      </c>
      <c r="D496" t="s">
        <v>2412</v>
      </c>
      <c r="E496" t="s">
        <v>2413</v>
      </c>
      <c r="F496" t="s">
        <v>2252</v>
      </c>
      <c r="G496" t="s">
        <v>2414</v>
      </c>
      <c r="H496" t="s">
        <v>22</v>
      </c>
      <c r="I496" t="s">
        <v>1622</v>
      </c>
    </row>
    <row r="497" spans="1:9" ht="11.25" customHeight="1">
      <c r="A497" t="s">
        <v>2248</v>
      </c>
      <c r="B497" t="s">
        <v>16</v>
      </c>
      <c r="C497" t="s">
        <v>3129</v>
      </c>
      <c r="D497" t="s">
        <v>3130</v>
      </c>
      <c r="E497" t="s">
        <v>3131</v>
      </c>
      <c r="F497" t="s">
        <v>2378</v>
      </c>
      <c r="G497" t="s">
        <v>3132</v>
      </c>
      <c r="H497" t="s">
        <v>22</v>
      </c>
      <c r="I497" t="s">
        <v>1622</v>
      </c>
    </row>
    <row r="498" spans="1:9" ht="11.25" customHeight="1">
      <c r="A498" t="s">
        <v>2248</v>
      </c>
      <c r="B498" t="s">
        <v>16</v>
      </c>
      <c r="C498" t="s">
        <v>3133</v>
      </c>
      <c r="D498" t="s">
        <v>3134</v>
      </c>
      <c r="E498" t="s">
        <v>3135</v>
      </c>
      <c r="F498" t="s">
        <v>2357</v>
      </c>
      <c r="G498" t="s">
        <v>3136</v>
      </c>
      <c r="H498" t="s">
        <v>22</v>
      </c>
      <c r="I498" t="s">
        <v>1622</v>
      </c>
    </row>
    <row r="499" spans="1:9" ht="11.25" customHeight="1">
      <c r="A499" t="s">
        <v>2248</v>
      </c>
      <c r="B499" t="s">
        <v>16</v>
      </c>
      <c r="C499" t="s">
        <v>2561</v>
      </c>
      <c r="D499" t="s">
        <v>2562</v>
      </c>
      <c r="E499" t="s">
        <v>2563</v>
      </c>
      <c r="F499" t="s">
        <v>2564</v>
      </c>
      <c r="G499" t="s">
        <v>2565</v>
      </c>
      <c r="H499" t="s">
        <v>22</v>
      </c>
      <c r="I499" t="s">
        <v>1622</v>
      </c>
    </row>
    <row r="500" spans="1:9" ht="11.25" customHeight="1">
      <c r="A500" t="s">
        <v>2248</v>
      </c>
      <c r="B500" t="s">
        <v>16</v>
      </c>
      <c r="C500" t="s">
        <v>3137</v>
      </c>
      <c r="D500" t="s">
        <v>3138</v>
      </c>
      <c r="E500" t="s">
        <v>3139</v>
      </c>
      <c r="F500" t="s">
        <v>2283</v>
      </c>
      <c r="G500" t="s">
        <v>3140</v>
      </c>
      <c r="H500" t="s">
        <v>22</v>
      </c>
      <c r="I500" t="s">
        <v>1622</v>
      </c>
    </row>
    <row r="501" spans="1:9" ht="11.25" customHeight="1">
      <c r="A501" t="s">
        <v>2248</v>
      </c>
      <c r="B501" t="s">
        <v>16</v>
      </c>
      <c r="C501" t="s">
        <v>3141</v>
      </c>
      <c r="D501" t="s">
        <v>3142</v>
      </c>
      <c r="E501" t="s">
        <v>3143</v>
      </c>
      <c r="F501" t="s">
        <v>2283</v>
      </c>
      <c r="G501" t="s">
        <v>3144</v>
      </c>
      <c r="H501" t="s">
        <v>22</v>
      </c>
      <c r="I501" t="s">
        <v>1622</v>
      </c>
    </row>
    <row r="502" spans="1:9" ht="11.25" customHeight="1">
      <c r="A502" t="s">
        <v>2248</v>
      </c>
      <c r="B502" t="s">
        <v>16</v>
      </c>
      <c r="C502" t="s">
        <v>3145</v>
      </c>
      <c r="D502" t="s">
        <v>3146</v>
      </c>
      <c r="E502" t="s">
        <v>3147</v>
      </c>
      <c r="F502" t="s">
        <v>2283</v>
      </c>
      <c r="G502" t="s">
        <v>3148</v>
      </c>
      <c r="H502" t="s">
        <v>22</v>
      </c>
      <c r="I502" t="s">
        <v>1622</v>
      </c>
    </row>
    <row r="503" spans="1:9" ht="11.25" customHeight="1">
      <c r="A503" t="s">
        <v>2248</v>
      </c>
      <c r="B503" t="s">
        <v>16</v>
      </c>
      <c r="C503" t="s">
        <v>3149</v>
      </c>
      <c r="D503" t="s">
        <v>3150</v>
      </c>
      <c r="E503" t="s">
        <v>3151</v>
      </c>
      <c r="F503" t="s">
        <v>3152</v>
      </c>
      <c r="G503" t="s">
        <v>22</v>
      </c>
      <c r="H503" t="s">
        <v>22</v>
      </c>
      <c r="I503" t="s">
        <v>1622</v>
      </c>
    </row>
    <row r="504" spans="1:9" ht="11.25" customHeight="1">
      <c r="A504" t="s">
        <v>2248</v>
      </c>
      <c r="B504" t="s">
        <v>16</v>
      </c>
      <c r="C504" t="s">
        <v>3153</v>
      </c>
      <c r="D504" t="s">
        <v>3154</v>
      </c>
      <c r="E504" t="s">
        <v>3155</v>
      </c>
      <c r="F504" t="s">
        <v>2368</v>
      </c>
      <c r="G504" t="s">
        <v>3156</v>
      </c>
      <c r="H504" t="s">
        <v>22</v>
      </c>
      <c r="I504" t="s">
        <v>1622</v>
      </c>
    </row>
    <row r="505" spans="1:9" ht="11.25" customHeight="1">
      <c r="A505" t="s">
        <v>2248</v>
      </c>
      <c r="B505" t="s">
        <v>16</v>
      </c>
      <c r="C505" t="s">
        <v>3157</v>
      </c>
      <c r="D505" t="s">
        <v>3158</v>
      </c>
      <c r="E505" t="s">
        <v>3159</v>
      </c>
      <c r="F505" t="s">
        <v>2257</v>
      </c>
      <c r="G505" t="s">
        <v>22</v>
      </c>
      <c r="H505" t="s">
        <v>22</v>
      </c>
      <c r="I505" t="s">
        <v>1622</v>
      </c>
    </row>
    <row r="506" spans="1:9" ht="11.25" customHeight="1">
      <c r="A506" t="s">
        <v>2248</v>
      </c>
      <c r="B506" t="s">
        <v>16</v>
      </c>
      <c r="C506" t="s">
        <v>2705</v>
      </c>
      <c r="D506" t="s">
        <v>2706</v>
      </c>
      <c r="E506" t="s">
        <v>2707</v>
      </c>
      <c r="F506" t="s">
        <v>2708</v>
      </c>
      <c r="G506" t="s">
        <v>2709</v>
      </c>
      <c r="H506" t="s">
        <v>22</v>
      </c>
      <c r="I506" t="s">
        <v>1622</v>
      </c>
    </row>
    <row r="507" spans="1:9" ht="11.25" customHeight="1">
      <c r="A507" t="s">
        <v>2248</v>
      </c>
      <c r="B507" t="s">
        <v>16</v>
      </c>
      <c r="C507" t="s">
        <v>3160</v>
      </c>
      <c r="D507" t="s">
        <v>3161</v>
      </c>
      <c r="E507" t="s">
        <v>3162</v>
      </c>
      <c r="F507" t="s">
        <v>2252</v>
      </c>
      <c r="G507" t="s">
        <v>3163</v>
      </c>
      <c r="H507" t="s">
        <v>22</v>
      </c>
      <c r="I507" t="s">
        <v>1622</v>
      </c>
    </row>
    <row r="508" spans="1:9" ht="11.25" customHeight="1">
      <c r="A508" t="s">
        <v>2248</v>
      </c>
      <c r="B508" t="s">
        <v>16</v>
      </c>
      <c r="C508" t="s">
        <v>3164</v>
      </c>
      <c r="D508" t="s">
        <v>3165</v>
      </c>
      <c r="E508" t="s">
        <v>3166</v>
      </c>
      <c r="F508" t="s">
        <v>2252</v>
      </c>
      <c r="G508" t="s">
        <v>3167</v>
      </c>
      <c r="H508" t="s">
        <v>22</v>
      </c>
      <c r="I508" t="s">
        <v>1622</v>
      </c>
    </row>
    <row r="509" spans="1:9" ht="11.25" customHeight="1">
      <c r="A509" t="s">
        <v>2248</v>
      </c>
      <c r="B509" t="s">
        <v>16</v>
      </c>
      <c r="C509" t="s">
        <v>3168</v>
      </c>
      <c r="D509" t="s">
        <v>3169</v>
      </c>
      <c r="E509" t="s">
        <v>3170</v>
      </c>
      <c r="F509" t="s">
        <v>51</v>
      </c>
      <c r="G509" t="s">
        <v>3171</v>
      </c>
      <c r="H509" t="s">
        <v>22</v>
      </c>
      <c r="I509" t="s">
        <v>1622</v>
      </c>
    </row>
    <row r="510" spans="1:9" ht="11.25" customHeight="1">
      <c r="A510" t="s">
        <v>2248</v>
      </c>
      <c r="B510" t="s">
        <v>16</v>
      </c>
      <c r="C510" t="s">
        <v>3172</v>
      </c>
      <c r="D510" t="s">
        <v>3173</v>
      </c>
      <c r="E510" t="s">
        <v>3174</v>
      </c>
      <c r="F510" t="s">
        <v>3175</v>
      </c>
      <c r="G510" t="s">
        <v>3176</v>
      </c>
      <c r="H510" t="s">
        <v>22</v>
      </c>
      <c r="I510" t="s">
        <v>1622</v>
      </c>
    </row>
    <row r="511" spans="1:9" ht="11.25" customHeight="1">
      <c r="A511" t="s">
        <v>2248</v>
      </c>
      <c r="B511" t="s">
        <v>16</v>
      </c>
      <c r="C511" t="s">
        <v>3177</v>
      </c>
      <c r="D511" t="s">
        <v>3178</v>
      </c>
      <c r="E511" t="s">
        <v>3174</v>
      </c>
      <c r="F511" t="s">
        <v>2915</v>
      </c>
      <c r="G511" t="s">
        <v>22</v>
      </c>
      <c r="H511" t="s">
        <v>22</v>
      </c>
      <c r="I511" t="s">
        <v>1622</v>
      </c>
    </row>
    <row r="512" spans="1:9" ht="11.25" customHeight="1">
      <c r="A512" t="s">
        <v>2248</v>
      </c>
      <c r="B512" t="s">
        <v>16</v>
      </c>
      <c r="C512" t="s">
        <v>3179</v>
      </c>
      <c r="D512" t="s">
        <v>3180</v>
      </c>
      <c r="E512" t="s">
        <v>3181</v>
      </c>
      <c r="F512" t="s">
        <v>2257</v>
      </c>
      <c r="G512" t="s">
        <v>22</v>
      </c>
      <c r="H512" t="s">
        <v>22</v>
      </c>
      <c r="I512" t="s">
        <v>1622</v>
      </c>
    </row>
    <row r="513" spans="1:9" ht="11.25" customHeight="1">
      <c r="A513" t="s">
        <v>2248</v>
      </c>
      <c r="B513" t="s">
        <v>16</v>
      </c>
      <c r="C513" t="s">
        <v>3182</v>
      </c>
      <c r="D513" t="s">
        <v>3183</v>
      </c>
      <c r="E513" t="s">
        <v>3184</v>
      </c>
      <c r="F513" t="s">
        <v>2257</v>
      </c>
      <c r="G513" t="s">
        <v>3185</v>
      </c>
      <c r="H513" t="s">
        <v>22</v>
      </c>
      <c r="I513" t="s">
        <v>1622</v>
      </c>
    </row>
    <row r="514" spans="1:9" ht="11.25" customHeight="1">
      <c r="A514" t="s">
        <v>2248</v>
      </c>
      <c r="B514" t="s">
        <v>16</v>
      </c>
      <c r="C514" t="s">
        <v>3186</v>
      </c>
      <c r="D514" t="s">
        <v>3187</v>
      </c>
      <c r="E514" t="s">
        <v>3188</v>
      </c>
      <c r="F514" t="s">
        <v>2373</v>
      </c>
      <c r="G514" t="s">
        <v>3189</v>
      </c>
      <c r="H514" t="s">
        <v>22</v>
      </c>
      <c r="I514" t="s">
        <v>1622</v>
      </c>
    </row>
    <row r="515" spans="1:9" ht="11.25" customHeight="1">
      <c r="A515" t="s">
        <v>2248</v>
      </c>
      <c r="B515" t="s">
        <v>16</v>
      </c>
      <c r="C515" t="s">
        <v>3190</v>
      </c>
      <c r="D515" t="s">
        <v>3191</v>
      </c>
      <c r="E515" t="s">
        <v>3192</v>
      </c>
      <c r="F515" t="s">
        <v>2368</v>
      </c>
      <c r="G515" t="s">
        <v>3193</v>
      </c>
      <c r="H515" t="s">
        <v>22</v>
      </c>
      <c r="I515" t="s">
        <v>1622</v>
      </c>
    </row>
    <row r="516" spans="1:9" ht="11.25" customHeight="1">
      <c r="A516" t="s">
        <v>2248</v>
      </c>
      <c r="B516" t="s">
        <v>16</v>
      </c>
      <c r="C516" t="s">
        <v>3194</v>
      </c>
      <c r="D516" t="s">
        <v>3195</v>
      </c>
      <c r="E516" t="s">
        <v>3196</v>
      </c>
      <c r="F516" t="s">
        <v>3197</v>
      </c>
      <c r="G516" t="s">
        <v>3198</v>
      </c>
      <c r="H516" t="s">
        <v>22</v>
      </c>
      <c r="I516" t="s">
        <v>1622</v>
      </c>
    </row>
    <row r="517" spans="1:9" ht="11.25" customHeight="1">
      <c r="A517" t="s">
        <v>2248</v>
      </c>
      <c r="B517" t="s">
        <v>16</v>
      </c>
      <c r="C517" t="s">
        <v>3199</v>
      </c>
      <c r="D517" t="s">
        <v>3200</v>
      </c>
      <c r="E517" t="s">
        <v>3201</v>
      </c>
      <c r="F517" t="s">
        <v>2257</v>
      </c>
      <c r="G517" t="s">
        <v>3202</v>
      </c>
      <c r="H517" t="s">
        <v>22</v>
      </c>
      <c r="I517" t="s">
        <v>1622</v>
      </c>
    </row>
    <row r="518" spans="1:9" ht="11.25" customHeight="1">
      <c r="A518" t="s">
        <v>2248</v>
      </c>
      <c r="B518" t="s">
        <v>16</v>
      </c>
      <c r="C518" t="s">
        <v>3203</v>
      </c>
      <c r="D518" t="s">
        <v>3204</v>
      </c>
      <c r="E518" t="s">
        <v>3205</v>
      </c>
      <c r="F518" t="s">
        <v>2283</v>
      </c>
      <c r="G518" t="s">
        <v>3206</v>
      </c>
      <c r="H518" t="s">
        <v>22</v>
      </c>
      <c r="I518" t="s">
        <v>1622</v>
      </c>
    </row>
    <row r="519" spans="1:9" ht="11.25" customHeight="1">
      <c r="A519" t="s">
        <v>2248</v>
      </c>
      <c r="B519" t="s">
        <v>16</v>
      </c>
      <c r="C519" t="s">
        <v>3207</v>
      </c>
      <c r="D519" t="s">
        <v>3208</v>
      </c>
      <c r="E519" t="s">
        <v>3209</v>
      </c>
      <c r="F519" t="s">
        <v>2257</v>
      </c>
      <c r="G519" t="s">
        <v>3210</v>
      </c>
      <c r="H519" t="s">
        <v>22</v>
      </c>
      <c r="I519" t="s">
        <v>1622</v>
      </c>
    </row>
  </sheetData>
  <sheetProtection formatColumns="0" formatRows="0" insertRows="0" deleteColumns="0" deleteRows="0" sort="0" autoFilter="0"/>
  <pageMargins left="0.75" right="0.75" top="1" bottom="1" header="0.5" footer="0.5"/>
  <pageSetup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4EF18E-4B28-1953-5B01-522996C4731C}">
  <sheetPr>
    <tabColor rgb="FFFFCC99"/>
  </sheetPr>
  <dimension ref="A1:G136"/>
  <sheetViews>
    <sheetView showGridLines="0" workbookViewId="0"/>
  </sheetViews>
  <sheetFormatPr defaultRowHeight="11.25" customHeight="1"/>
  <sheetData>
    <row r="1" spans="1:7" ht="11.25" customHeight="1">
      <c r="A1" t="s">
        <v>3211</v>
      </c>
      <c r="B1" s="2" t="s">
        <v>3212</v>
      </c>
      <c r="C1" s="2" t="s">
        <v>3213</v>
      </c>
      <c r="D1" s="2" t="s">
        <v>3214</v>
      </c>
      <c r="E1" t="s">
        <v>3215</v>
      </c>
      <c r="F1" t="s">
        <v>3216</v>
      </c>
      <c r="G1" t="s">
        <v>3217</v>
      </c>
    </row>
    <row r="2" spans="1:7" ht="11.25" customHeight="1">
      <c r="A2" t="s">
        <v>16</v>
      </c>
      <c r="B2" t="s">
        <v>3218</v>
      </c>
      <c r="C2" t="s">
        <v>3219</v>
      </c>
      <c r="D2" t="s">
        <v>3218</v>
      </c>
      <c r="E2" t="s">
        <v>3219</v>
      </c>
      <c r="F2" t="s">
        <v>3220</v>
      </c>
      <c r="G2" t="s">
        <v>110</v>
      </c>
    </row>
    <row r="3" spans="1:7" ht="11.25" customHeight="1">
      <c r="A3" t="s">
        <v>16</v>
      </c>
      <c r="B3" t="s">
        <v>3218</v>
      </c>
      <c r="C3" t="s">
        <v>3219</v>
      </c>
      <c r="D3" t="s">
        <v>3221</v>
      </c>
      <c r="E3" t="s">
        <v>3222</v>
      </c>
      <c r="F3" t="s">
        <v>3223</v>
      </c>
      <c r="G3" t="s">
        <v>111</v>
      </c>
    </row>
    <row r="4" spans="1:7" ht="11.25" customHeight="1">
      <c r="A4" t="s">
        <v>16</v>
      </c>
      <c r="B4" t="s">
        <v>3218</v>
      </c>
      <c r="C4" t="s">
        <v>3219</v>
      </c>
      <c r="D4" t="s">
        <v>3224</v>
      </c>
      <c r="E4" t="s">
        <v>3225</v>
      </c>
      <c r="F4" t="s">
        <v>3223</v>
      </c>
      <c r="G4" t="s">
        <v>90</v>
      </c>
    </row>
    <row r="5" spans="1:7" ht="11.25" customHeight="1">
      <c r="A5" t="s">
        <v>16</v>
      </c>
      <c r="B5" t="s">
        <v>3218</v>
      </c>
      <c r="C5" t="s">
        <v>3219</v>
      </c>
      <c r="D5" t="s">
        <v>3226</v>
      </c>
      <c r="E5" t="s">
        <v>3227</v>
      </c>
      <c r="F5" t="s">
        <v>3223</v>
      </c>
      <c r="G5" t="s">
        <v>91</v>
      </c>
    </row>
    <row r="6" spans="1:7" ht="11.25" customHeight="1">
      <c r="A6" t="s">
        <v>16</v>
      </c>
      <c r="B6" t="s">
        <v>3218</v>
      </c>
      <c r="C6" t="s">
        <v>3219</v>
      </c>
      <c r="D6" t="s">
        <v>3228</v>
      </c>
      <c r="E6" t="s">
        <v>3229</v>
      </c>
      <c r="F6" t="s">
        <v>3223</v>
      </c>
      <c r="G6" t="s">
        <v>112</v>
      </c>
    </row>
    <row r="7" spans="1:7" ht="11.25" customHeight="1">
      <c r="A7" t="s">
        <v>16</v>
      </c>
      <c r="B7" t="s">
        <v>3218</v>
      </c>
      <c r="C7" t="s">
        <v>3219</v>
      </c>
      <c r="D7" t="s">
        <v>3230</v>
      </c>
      <c r="E7" t="s">
        <v>3231</v>
      </c>
      <c r="F7" t="s">
        <v>3223</v>
      </c>
      <c r="G7" t="s">
        <v>92</v>
      </c>
    </row>
    <row r="8" spans="1:7" ht="11.25" customHeight="1">
      <c r="A8" t="s">
        <v>16</v>
      </c>
      <c r="B8" t="s">
        <v>3218</v>
      </c>
      <c r="C8" t="s">
        <v>3219</v>
      </c>
      <c r="D8" t="s">
        <v>3232</v>
      </c>
      <c r="E8" t="s">
        <v>3233</v>
      </c>
      <c r="F8" t="s">
        <v>3223</v>
      </c>
      <c r="G8" t="s">
        <v>93</v>
      </c>
    </row>
    <row r="9" spans="1:7" ht="11.25" customHeight="1">
      <c r="A9" t="s">
        <v>16</v>
      </c>
      <c r="B9" t="s">
        <v>3234</v>
      </c>
      <c r="C9" t="s">
        <v>3235</v>
      </c>
      <c r="D9" t="s">
        <v>3234</v>
      </c>
      <c r="E9" t="s">
        <v>3235</v>
      </c>
      <c r="F9" t="s">
        <v>3220</v>
      </c>
      <c r="G9" t="s">
        <v>113</v>
      </c>
    </row>
    <row r="10" spans="1:7" ht="11.25" customHeight="1">
      <c r="A10" t="s">
        <v>16</v>
      </c>
      <c r="B10" t="s">
        <v>3234</v>
      </c>
      <c r="C10" t="s">
        <v>3235</v>
      </c>
      <c r="D10" t="s">
        <v>3236</v>
      </c>
      <c r="E10" t="s">
        <v>3237</v>
      </c>
      <c r="F10" t="s">
        <v>3238</v>
      </c>
      <c r="G10" t="s">
        <v>153</v>
      </c>
    </row>
    <row r="11" spans="1:7" ht="11.25" customHeight="1">
      <c r="A11" t="s">
        <v>16</v>
      </c>
      <c r="B11" t="s">
        <v>3234</v>
      </c>
      <c r="C11" t="s">
        <v>3235</v>
      </c>
      <c r="D11" t="s">
        <v>3239</v>
      </c>
      <c r="E11" t="s">
        <v>3240</v>
      </c>
      <c r="F11" t="s">
        <v>3223</v>
      </c>
      <c r="G11" t="s">
        <v>154</v>
      </c>
    </row>
    <row r="12" spans="1:7" ht="11.25" customHeight="1">
      <c r="A12" t="s">
        <v>16</v>
      </c>
      <c r="B12" t="s">
        <v>3234</v>
      </c>
      <c r="C12" t="s">
        <v>3235</v>
      </c>
      <c r="D12" t="s">
        <v>3241</v>
      </c>
      <c r="E12" t="s">
        <v>3242</v>
      </c>
      <c r="F12" t="s">
        <v>3223</v>
      </c>
      <c r="G12" t="s">
        <v>155</v>
      </c>
    </row>
    <row r="13" spans="1:7" ht="11.25" customHeight="1">
      <c r="A13" t="s">
        <v>16</v>
      </c>
      <c r="B13" t="s">
        <v>3234</v>
      </c>
      <c r="C13" t="s">
        <v>3235</v>
      </c>
      <c r="D13" t="s">
        <v>3243</v>
      </c>
      <c r="E13" t="s">
        <v>3244</v>
      </c>
      <c r="F13" t="s">
        <v>3223</v>
      </c>
      <c r="G13" t="s">
        <v>156</v>
      </c>
    </row>
    <row r="14" spans="1:7" ht="11.25" customHeight="1">
      <c r="A14" t="s">
        <v>16</v>
      </c>
      <c r="B14" t="s">
        <v>3234</v>
      </c>
      <c r="C14" t="s">
        <v>3235</v>
      </c>
      <c r="D14" t="s">
        <v>3245</v>
      </c>
      <c r="E14" t="s">
        <v>3246</v>
      </c>
      <c r="F14" t="s">
        <v>3223</v>
      </c>
      <c r="G14" t="s">
        <v>157</v>
      </c>
    </row>
    <row r="15" spans="1:7" ht="11.25" customHeight="1">
      <c r="A15" t="s">
        <v>16</v>
      </c>
      <c r="B15" t="s">
        <v>3234</v>
      </c>
      <c r="C15" t="s">
        <v>3235</v>
      </c>
      <c r="D15" t="s">
        <v>3247</v>
      </c>
      <c r="E15" t="s">
        <v>3248</v>
      </c>
      <c r="F15" t="s">
        <v>3223</v>
      </c>
      <c r="G15" t="s">
        <v>158</v>
      </c>
    </row>
    <row r="16" spans="1:7" ht="11.25" customHeight="1">
      <c r="A16" t="s">
        <v>16</v>
      </c>
      <c r="B16" t="s">
        <v>3234</v>
      </c>
      <c r="C16" t="s">
        <v>3235</v>
      </c>
      <c r="D16" t="s">
        <v>3249</v>
      </c>
      <c r="E16" t="s">
        <v>3250</v>
      </c>
      <c r="F16" t="s">
        <v>3223</v>
      </c>
      <c r="G16" t="s">
        <v>1465</v>
      </c>
    </row>
    <row r="17" spans="1:7" ht="11.25" customHeight="1">
      <c r="A17" t="s">
        <v>16</v>
      </c>
      <c r="B17" t="s">
        <v>3251</v>
      </c>
      <c r="C17" t="s">
        <v>3252</v>
      </c>
      <c r="D17" t="s">
        <v>3251</v>
      </c>
      <c r="E17" t="s">
        <v>3252</v>
      </c>
      <c r="F17" t="s">
        <v>3220</v>
      </c>
      <c r="G17" t="s">
        <v>1471</v>
      </c>
    </row>
    <row r="18" spans="1:7" ht="11.25" customHeight="1">
      <c r="A18" t="s">
        <v>16</v>
      </c>
      <c r="B18" t="s">
        <v>3251</v>
      </c>
      <c r="C18" t="s">
        <v>3252</v>
      </c>
      <c r="D18" t="s">
        <v>3253</v>
      </c>
      <c r="E18" t="s">
        <v>3254</v>
      </c>
      <c r="F18" t="s">
        <v>3223</v>
      </c>
      <c r="G18" t="s">
        <v>1483</v>
      </c>
    </row>
    <row r="19" spans="1:7" ht="11.25" customHeight="1">
      <c r="A19" t="s">
        <v>16</v>
      </c>
      <c r="B19" t="s">
        <v>3251</v>
      </c>
      <c r="C19" t="s">
        <v>3252</v>
      </c>
      <c r="D19" t="s">
        <v>3255</v>
      </c>
      <c r="E19" t="s">
        <v>3256</v>
      </c>
      <c r="F19" t="s">
        <v>3223</v>
      </c>
      <c r="G19" t="s">
        <v>1497</v>
      </c>
    </row>
    <row r="20" spans="1:7" ht="11.25" customHeight="1">
      <c r="A20" t="s">
        <v>16</v>
      </c>
      <c r="B20" t="s">
        <v>3251</v>
      </c>
      <c r="C20" t="s">
        <v>3252</v>
      </c>
      <c r="D20" t="s">
        <v>3257</v>
      </c>
      <c r="E20" t="s">
        <v>3258</v>
      </c>
      <c r="F20" t="s">
        <v>3223</v>
      </c>
      <c r="G20" t="s">
        <v>1509</v>
      </c>
    </row>
    <row r="21" spans="1:7" ht="11.25" customHeight="1">
      <c r="A21" t="s">
        <v>16</v>
      </c>
      <c r="B21" t="s">
        <v>3251</v>
      </c>
      <c r="C21" t="s">
        <v>3252</v>
      </c>
      <c r="D21" t="s">
        <v>3259</v>
      </c>
      <c r="E21" t="s">
        <v>3260</v>
      </c>
      <c r="F21" t="s">
        <v>3223</v>
      </c>
      <c r="G21" t="s">
        <v>1518</v>
      </c>
    </row>
    <row r="22" spans="1:7" ht="11.25" customHeight="1">
      <c r="A22" t="s">
        <v>16</v>
      </c>
      <c r="B22" t="s">
        <v>3251</v>
      </c>
      <c r="C22" t="s">
        <v>3252</v>
      </c>
      <c r="D22" t="s">
        <v>3261</v>
      </c>
      <c r="E22" t="s">
        <v>3262</v>
      </c>
      <c r="F22" t="s">
        <v>3223</v>
      </c>
      <c r="G22" t="s">
        <v>1534</v>
      </c>
    </row>
    <row r="23" spans="1:7" ht="11.25" customHeight="1">
      <c r="A23" t="s">
        <v>16</v>
      </c>
      <c r="B23" t="s">
        <v>3251</v>
      </c>
      <c r="C23" t="s">
        <v>3252</v>
      </c>
      <c r="D23" t="s">
        <v>3263</v>
      </c>
      <c r="E23" t="s">
        <v>3264</v>
      </c>
      <c r="F23" t="s">
        <v>3223</v>
      </c>
      <c r="G23" t="s">
        <v>1541</v>
      </c>
    </row>
    <row r="24" spans="1:7" ht="11.25" customHeight="1">
      <c r="A24" t="s">
        <v>16</v>
      </c>
      <c r="B24" t="s">
        <v>3265</v>
      </c>
      <c r="C24" t="s">
        <v>3266</v>
      </c>
      <c r="D24" t="s">
        <v>3267</v>
      </c>
      <c r="E24" t="s">
        <v>3268</v>
      </c>
      <c r="F24" t="s">
        <v>3269</v>
      </c>
      <c r="G24" t="s">
        <v>1549</v>
      </c>
    </row>
    <row r="25" spans="1:7" ht="11.25" customHeight="1">
      <c r="A25" t="s">
        <v>16</v>
      </c>
      <c r="B25" t="s">
        <v>3265</v>
      </c>
      <c r="C25" t="s">
        <v>3266</v>
      </c>
      <c r="D25" t="s">
        <v>3265</v>
      </c>
      <c r="E25" t="s">
        <v>3266</v>
      </c>
      <c r="F25" t="s">
        <v>3220</v>
      </c>
      <c r="G25" t="s">
        <v>1556</v>
      </c>
    </row>
    <row r="26" spans="1:7" ht="11.25" customHeight="1">
      <c r="A26" t="s">
        <v>16</v>
      </c>
      <c r="B26" t="s">
        <v>3265</v>
      </c>
      <c r="C26" t="s">
        <v>3266</v>
      </c>
      <c r="D26" t="s">
        <v>3270</v>
      </c>
      <c r="E26" t="s">
        <v>3271</v>
      </c>
      <c r="F26" t="s">
        <v>3223</v>
      </c>
      <c r="G26" t="s">
        <v>1560</v>
      </c>
    </row>
    <row r="27" spans="1:7" ht="11.25" customHeight="1">
      <c r="A27" t="s">
        <v>16</v>
      </c>
      <c r="B27" t="s">
        <v>3265</v>
      </c>
      <c r="C27" t="s">
        <v>3266</v>
      </c>
      <c r="D27" t="s">
        <v>3272</v>
      </c>
      <c r="E27" t="s">
        <v>3273</v>
      </c>
      <c r="F27" t="s">
        <v>3223</v>
      </c>
      <c r="G27" t="s">
        <v>1565</v>
      </c>
    </row>
    <row r="28" spans="1:7" ht="11.25" customHeight="1">
      <c r="A28" t="s">
        <v>16</v>
      </c>
      <c r="B28" t="s">
        <v>3265</v>
      </c>
      <c r="C28" t="s">
        <v>3266</v>
      </c>
      <c r="D28" t="s">
        <v>3274</v>
      </c>
      <c r="E28" t="s">
        <v>3275</v>
      </c>
      <c r="F28" t="s">
        <v>3223</v>
      </c>
      <c r="G28" t="s">
        <v>1573</v>
      </c>
    </row>
    <row r="29" spans="1:7" ht="11.25" customHeight="1">
      <c r="A29" t="s">
        <v>16</v>
      </c>
      <c r="B29" t="s">
        <v>3265</v>
      </c>
      <c r="C29" t="s">
        <v>3266</v>
      </c>
      <c r="D29" t="s">
        <v>3276</v>
      </c>
      <c r="E29" t="s">
        <v>3277</v>
      </c>
      <c r="F29" t="s">
        <v>3223</v>
      </c>
      <c r="G29" t="s">
        <v>1575</v>
      </c>
    </row>
    <row r="30" spans="1:7" ht="11.25" customHeight="1">
      <c r="A30" t="s">
        <v>16</v>
      </c>
      <c r="B30" t="s">
        <v>3265</v>
      </c>
      <c r="C30" t="s">
        <v>3266</v>
      </c>
      <c r="D30" t="s">
        <v>3278</v>
      </c>
      <c r="E30" t="s">
        <v>3279</v>
      </c>
      <c r="F30" t="s">
        <v>3223</v>
      </c>
      <c r="G30" t="s">
        <v>1578</v>
      </c>
    </row>
    <row r="31" spans="1:7" ht="11.25" customHeight="1">
      <c r="A31" t="s">
        <v>16</v>
      </c>
      <c r="B31" t="s">
        <v>3265</v>
      </c>
      <c r="C31" t="s">
        <v>3266</v>
      </c>
      <c r="D31" t="s">
        <v>3280</v>
      </c>
      <c r="E31" t="s">
        <v>3281</v>
      </c>
      <c r="F31" t="s">
        <v>3223</v>
      </c>
      <c r="G31" t="s">
        <v>1584</v>
      </c>
    </row>
    <row r="32" spans="1:7" ht="11.25" customHeight="1">
      <c r="A32" t="s">
        <v>16</v>
      </c>
      <c r="B32" t="s">
        <v>3265</v>
      </c>
      <c r="C32" t="s">
        <v>3266</v>
      </c>
      <c r="D32" t="s">
        <v>3282</v>
      </c>
      <c r="E32" t="s">
        <v>3283</v>
      </c>
      <c r="F32" t="s">
        <v>3223</v>
      </c>
      <c r="G32" t="s">
        <v>1586</v>
      </c>
    </row>
    <row r="33" spans="1:7" ht="11.25" customHeight="1">
      <c r="A33" t="s">
        <v>16</v>
      </c>
      <c r="B33" t="s">
        <v>3265</v>
      </c>
      <c r="C33" t="s">
        <v>3266</v>
      </c>
      <c r="D33" t="s">
        <v>3284</v>
      </c>
      <c r="E33" t="s">
        <v>3285</v>
      </c>
      <c r="F33" t="s">
        <v>3223</v>
      </c>
      <c r="G33" t="s">
        <v>1588</v>
      </c>
    </row>
    <row r="34" spans="1:7" ht="11.25" customHeight="1">
      <c r="A34" t="s">
        <v>16</v>
      </c>
      <c r="B34" t="s">
        <v>3286</v>
      </c>
      <c r="C34" t="s">
        <v>3287</v>
      </c>
      <c r="D34" t="s">
        <v>3286</v>
      </c>
      <c r="E34" t="s">
        <v>3287</v>
      </c>
      <c r="F34" t="s">
        <v>3288</v>
      </c>
      <c r="G34" t="s">
        <v>1590</v>
      </c>
    </row>
    <row r="35" spans="1:7" ht="11.25" customHeight="1">
      <c r="A35" t="s">
        <v>16</v>
      </c>
      <c r="B35" t="s">
        <v>3289</v>
      </c>
      <c r="C35" t="s">
        <v>3290</v>
      </c>
      <c r="D35" t="s">
        <v>3289</v>
      </c>
      <c r="E35" t="s">
        <v>3290</v>
      </c>
      <c r="F35" t="s">
        <v>3288</v>
      </c>
      <c r="G35" t="s">
        <v>1595</v>
      </c>
    </row>
    <row r="36" spans="1:7" ht="11.25" customHeight="1">
      <c r="A36" t="s">
        <v>16</v>
      </c>
      <c r="B36" t="s">
        <v>3291</v>
      </c>
      <c r="C36" t="s">
        <v>3292</v>
      </c>
      <c r="D36" t="s">
        <v>3291</v>
      </c>
      <c r="E36" t="s">
        <v>3292</v>
      </c>
      <c r="F36" t="s">
        <v>3288</v>
      </c>
      <c r="G36" t="s">
        <v>1600</v>
      </c>
    </row>
    <row r="37" spans="1:7" ht="11.25" customHeight="1">
      <c r="A37" t="s">
        <v>16</v>
      </c>
      <c r="B37" t="s">
        <v>3293</v>
      </c>
      <c r="C37" t="s">
        <v>3294</v>
      </c>
      <c r="D37" t="s">
        <v>3293</v>
      </c>
      <c r="E37" t="s">
        <v>3294</v>
      </c>
      <c r="F37" t="s">
        <v>3288</v>
      </c>
      <c r="G37" t="s">
        <v>1604</v>
      </c>
    </row>
    <row r="38" spans="1:7" ht="11.25" customHeight="1">
      <c r="A38" t="s">
        <v>16</v>
      </c>
      <c r="B38" t="s">
        <v>3295</v>
      </c>
      <c r="C38" t="s">
        <v>3296</v>
      </c>
      <c r="D38" t="s">
        <v>3297</v>
      </c>
      <c r="E38" t="s">
        <v>3298</v>
      </c>
      <c r="F38" t="s">
        <v>3223</v>
      </c>
      <c r="G38" t="s">
        <v>1612</v>
      </c>
    </row>
    <row r="39" spans="1:7" ht="11.25" customHeight="1">
      <c r="A39" t="s">
        <v>16</v>
      </c>
      <c r="B39" t="s">
        <v>3295</v>
      </c>
      <c r="C39" t="s">
        <v>3296</v>
      </c>
      <c r="D39" t="s">
        <v>3299</v>
      </c>
      <c r="E39" t="s">
        <v>3300</v>
      </c>
      <c r="F39" t="s">
        <v>3223</v>
      </c>
      <c r="G39" t="s">
        <v>1618</v>
      </c>
    </row>
    <row r="40" spans="1:7" ht="11.25" customHeight="1">
      <c r="A40" t="s">
        <v>16</v>
      </c>
      <c r="B40" t="s">
        <v>3295</v>
      </c>
      <c r="C40" t="s">
        <v>3296</v>
      </c>
      <c r="D40" t="s">
        <v>3295</v>
      </c>
      <c r="E40" t="s">
        <v>3296</v>
      </c>
      <c r="F40" t="s">
        <v>3220</v>
      </c>
      <c r="G40" t="s">
        <v>1623</v>
      </c>
    </row>
    <row r="41" spans="1:7" ht="11.25" customHeight="1">
      <c r="A41" t="s">
        <v>16</v>
      </c>
      <c r="B41" t="s">
        <v>3295</v>
      </c>
      <c r="C41" t="s">
        <v>3296</v>
      </c>
      <c r="D41" t="s">
        <v>3301</v>
      </c>
      <c r="E41" t="s">
        <v>3302</v>
      </c>
      <c r="F41" t="s">
        <v>3223</v>
      </c>
      <c r="G41" t="s">
        <v>1627</v>
      </c>
    </row>
    <row r="42" spans="1:7" ht="11.25" customHeight="1">
      <c r="A42" t="s">
        <v>16</v>
      </c>
      <c r="B42" t="s">
        <v>3295</v>
      </c>
      <c r="C42" t="s">
        <v>3296</v>
      </c>
      <c r="D42" t="s">
        <v>3303</v>
      </c>
      <c r="E42" t="s">
        <v>3304</v>
      </c>
      <c r="F42" t="s">
        <v>3223</v>
      </c>
      <c r="G42" t="s">
        <v>1630</v>
      </c>
    </row>
    <row r="43" spans="1:7" ht="11.25" customHeight="1">
      <c r="A43" t="s">
        <v>16</v>
      </c>
      <c r="B43" t="s">
        <v>3295</v>
      </c>
      <c r="C43" t="s">
        <v>3296</v>
      </c>
      <c r="D43" t="s">
        <v>3305</v>
      </c>
      <c r="E43" t="s">
        <v>3306</v>
      </c>
      <c r="F43" t="s">
        <v>3223</v>
      </c>
      <c r="G43" t="s">
        <v>1637</v>
      </c>
    </row>
    <row r="44" spans="1:7" ht="11.25" customHeight="1">
      <c r="A44" t="s">
        <v>16</v>
      </c>
      <c r="B44" t="s">
        <v>3307</v>
      </c>
      <c r="C44" t="s">
        <v>3308</v>
      </c>
      <c r="D44" t="s">
        <v>3309</v>
      </c>
      <c r="E44" t="s">
        <v>3310</v>
      </c>
      <c r="F44" t="s">
        <v>3223</v>
      </c>
      <c r="G44" t="s">
        <v>1646</v>
      </c>
    </row>
    <row r="45" spans="1:7" ht="11.25" customHeight="1">
      <c r="A45" t="s">
        <v>16</v>
      </c>
      <c r="B45" t="s">
        <v>3307</v>
      </c>
      <c r="C45" t="s">
        <v>3308</v>
      </c>
      <c r="D45" t="s">
        <v>3307</v>
      </c>
      <c r="E45" t="s">
        <v>3308</v>
      </c>
      <c r="F45" t="s">
        <v>3220</v>
      </c>
      <c r="G45" t="s">
        <v>1651</v>
      </c>
    </row>
    <row r="46" spans="1:7" ht="11.25" customHeight="1">
      <c r="A46" t="s">
        <v>16</v>
      </c>
      <c r="B46" t="s">
        <v>3307</v>
      </c>
      <c r="C46" t="s">
        <v>3308</v>
      </c>
      <c r="D46" t="s">
        <v>3311</v>
      </c>
      <c r="E46" t="s">
        <v>3312</v>
      </c>
      <c r="F46" t="s">
        <v>3223</v>
      </c>
      <c r="G46" t="s">
        <v>1654</v>
      </c>
    </row>
    <row r="47" spans="1:7" ht="11.25" customHeight="1">
      <c r="A47" t="s">
        <v>16</v>
      </c>
      <c r="B47" t="s">
        <v>3307</v>
      </c>
      <c r="C47" t="s">
        <v>3308</v>
      </c>
      <c r="D47" t="s">
        <v>3313</v>
      </c>
      <c r="E47" t="s">
        <v>3314</v>
      </c>
      <c r="F47" t="s">
        <v>3223</v>
      </c>
      <c r="G47" t="s">
        <v>1660</v>
      </c>
    </row>
    <row r="48" spans="1:7" ht="11.25" customHeight="1">
      <c r="A48" t="s">
        <v>16</v>
      </c>
      <c r="B48" t="s">
        <v>3307</v>
      </c>
      <c r="C48" t="s">
        <v>3308</v>
      </c>
      <c r="D48" t="s">
        <v>3315</v>
      </c>
      <c r="E48" t="s">
        <v>3316</v>
      </c>
      <c r="F48" t="s">
        <v>3223</v>
      </c>
      <c r="G48" t="s">
        <v>1665</v>
      </c>
    </row>
    <row r="49" spans="1:7" ht="11.25" customHeight="1">
      <c r="A49" t="s">
        <v>16</v>
      </c>
      <c r="B49" t="s">
        <v>3307</v>
      </c>
      <c r="C49" t="s">
        <v>3308</v>
      </c>
      <c r="D49" t="s">
        <v>3317</v>
      </c>
      <c r="E49" t="s">
        <v>3318</v>
      </c>
      <c r="F49" t="s">
        <v>3223</v>
      </c>
      <c r="G49" t="s">
        <v>1668</v>
      </c>
    </row>
    <row r="50" spans="1:7" ht="11.25" customHeight="1">
      <c r="A50" t="s">
        <v>16</v>
      </c>
      <c r="B50" t="s">
        <v>3307</v>
      </c>
      <c r="C50" t="s">
        <v>3308</v>
      </c>
      <c r="D50" t="s">
        <v>3319</v>
      </c>
      <c r="E50" t="s">
        <v>3320</v>
      </c>
      <c r="F50" t="s">
        <v>3223</v>
      </c>
      <c r="G50" t="s">
        <v>1672</v>
      </c>
    </row>
    <row r="51" spans="1:7" ht="11.25" customHeight="1">
      <c r="A51" t="s">
        <v>16</v>
      </c>
      <c r="B51" t="s">
        <v>3307</v>
      </c>
      <c r="C51" t="s">
        <v>3308</v>
      </c>
      <c r="D51" t="s">
        <v>3321</v>
      </c>
      <c r="E51" t="s">
        <v>3322</v>
      </c>
      <c r="F51" t="s">
        <v>3223</v>
      </c>
      <c r="G51" t="s">
        <v>1677</v>
      </c>
    </row>
    <row r="52" spans="1:7" ht="11.25" customHeight="1">
      <c r="A52" t="s">
        <v>16</v>
      </c>
      <c r="B52" t="s">
        <v>3307</v>
      </c>
      <c r="C52" t="s">
        <v>3308</v>
      </c>
      <c r="D52" t="s">
        <v>3323</v>
      </c>
      <c r="E52" t="s">
        <v>3324</v>
      </c>
      <c r="F52" t="s">
        <v>3223</v>
      </c>
      <c r="G52" t="s">
        <v>1681</v>
      </c>
    </row>
    <row r="53" spans="1:7" ht="11.25" customHeight="1">
      <c r="A53" t="s">
        <v>16</v>
      </c>
      <c r="B53" t="s">
        <v>3307</v>
      </c>
      <c r="C53" t="s">
        <v>3308</v>
      </c>
      <c r="D53" t="s">
        <v>3325</v>
      </c>
      <c r="E53" t="s">
        <v>3326</v>
      </c>
      <c r="F53" t="s">
        <v>3223</v>
      </c>
      <c r="G53" t="s">
        <v>1683</v>
      </c>
    </row>
    <row r="54" spans="1:7" ht="11.25" customHeight="1">
      <c r="A54" t="s">
        <v>16</v>
      </c>
      <c r="B54" t="s">
        <v>3307</v>
      </c>
      <c r="C54" t="s">
        <v>3308</v>
      </c>
      <c r="D54" t="s">
        <v>3327</v>
      </c>
      <c r="E54" t="s">
        <v>3328</v>
      </c>
      <c r="F54" t="s">
        <v>3223</v>
      </c>
      <c r="G54" t="s">
        <v>1686</v>
      </c>
    </row>
    <row r="55" spans="1:7" ht="11.25" customHeight="1">
      <c r="A55" t="s">
        <v>16</v>
      </c>
      <c r="B55" t="s">
        <v>3307</v>
      </c>
      <c r="C55" t="s">
        <v>3308</v>
      </c>
      <c r="D55" t="s">
        <v>3329</v>
      </c>
      <c r="E55" t="s">
        <v>3330</v>
      </c>
      <c r="F55" t="s">
        <v>3223</v>
      </c>
      <c r="G55" t="s">
        <v>1690</v>
      </c>
    </row>
    <row r="56" spans="1:7" ht="11.25" customHeight="1">
      <c r="A56" t="s">
        <v>16</v>
      </c>
      <c r="B56" t="s">
        <v>3307</v>
      </c>
      <c r="C56" t="s">
        <v>3308</v>
      </c>
      <c r="D56" t="s">
        <v>3331</v>
      </c>
      <c r="E56" t="s">
        <v>3332</v>
      </c>
      <c r="F56" t="s">
        <v>3223</v>
      </c>
      <c r="G56" t="s">
        <v>1693</v>
      </c>
    </row>
    <row r="57" spans="1:7" ht="11.25" customHeight="1">
      <c r="A57" t="s">
        <v>16</v>
      </c>
      <c r="B57" t="s">
        <v>3333</v>
      </c>
      <c r="C57" t="s">
        <v>3334</v>
      </c>
      <c r="D57" t="s">
        <v>3335</v>
      </c>
      <c r="E57" t="s">
        <v>3336</v>
      </c>
      <c r="F57" t="s">
        <v>3223</v>
      </c>
      <c r="G57" t="s">
        <v>1696</v>
      </c>
    </row>
    <row r="58" spans="1:7" ht="11.25" customHeight="1">
      <c r="A58" t="s">
        <v>16</v>
      </c>
      <c r="B58" t="s">
        <v>3333</v>
      </c>
      <c r="C58" t="s">
        <v>3334</v>
      </c>
      <c r="D58" t="s">
        <v>3333</v>
      </c>
      <c r="E58" t="s">
        <v>3334</v>
      </c>
      <c r="F58" t="s">
        <v>3220</v>
      </c>
      <c r="G58" t="s">
        <v>1699</v>
      </c>
    </row>
    <row r="59" spans="1:7" ht="11.25" customHeight="1">
      <c r="A59" t="s">
        <v>16</v>
      </c>
      <c r="B59" t="s">
        <v>3333</v>
      </c>
      <c r="C59" t="s">
        <v>3334</v>
      </c>
      <c r="D59" t="s">
        <v>3337</v>
      </c>
      <c r="E59" t="s">
        <v>3338</v>
      </c>
      <c r="F59" t="s">
        <v>3223</v>
      </c>
      <c r="G59" t="s">
        <v>1703</v>
      </c>
    </row>
    <row r="60" spans="1:7" ht="11.25" customHeight="1">
      <c r="A60" t="s">
        <v>16</v>
      </c>
      <c r="B60" t="s">
        <v>3333</v>
      </c>
      <c r="C60" t="s">
        <v>3334</v>
      </c>
      <c r="D60" t="s">
        <v>3339</v>
      </c>
      <c r="E60" t="s">
        <v>3340</v>
      </c>
      <c r="F60" t="s">
        <v>3223</v>
      </c>
      <c r="G60" t="s">
        <v>1706</v>
      </c>
    </row>
    <row r="61" spans="1:7" ht="11.25" customHeight="1">
      <c r="A61" t="s">
        <v>16</v>
      </c>
      <c r="B61" t="s">
        <v>3333</v>
      </c>
      <c r="C61" t="s">
        <v>3334</v>
      </c>
      <c r="D61" t="s">
        <v>3341</v>
      </c>
      <c r="E61" t="s">
        <v>3342</v>
      </c>
      <c r="F61" t="s">
        <v>3223</v>
      </c>
      <c r="G61" t="s">
        <v>3343</v>
      </c>
    </row>
    <row r="62" spans="1:7" ht="11.25" customHeight="1">
      <c r="A62" t="s">
        <v>16</v>
      </c>
      <c r="B62" t="s">
        <v>3333</v>
      </c>
      <c r="C62" t="s">
        <v>3334</v>
      </c>
      <c r="D62" t="s">
        <v>3344</v>
      </c>
      <c r="E62" t="s">
        <v>3345</v>
      </c>
      <c r="F62" t="s">
        <v>3223</v>
      </c>
      <c r="G62" t="s">
        <v>3346</v>
      </c>
    </row>
    <row r="63" spans="1:7" ht="11.25" customHeight="1">
      <c r="A63" t="s">
        <v>16</v>
      </c>
      <c r="B63" t="s">
        <v>3333</v>
      </c>
      <c r="C63" t="s">
        <v>3334</v>
      </c>
      <c r="D63" t="s">
        <v>3347</v>
      </c>
      <c r="E63" t="s">
        <v>3348</v>
      </c>
      <c r="F63" t="s">
        <v>3223</v>
      </c>
      <c r="G63" t="s">
        <v>3349</v>
      </c>
    </row>
    <row r="64" spans="1:7" ht="11.25" customHeight="1">
      <c r="A64" t="s">
        <v>16</v>
      </c>
      <c r="B64" t="s">
        <v>3333</v>
      </c>
      <c r="C64" t="s">
        <v>3334</v>
      </c>
      <c r="D64" t="s">
        <v>3350</v>
      </c>
      <c r="E64" t="s">
        <v>3351</v>
      </c>
      <c r="F64" t="s">
        <v>3223</v>
      </c>
      <c r="G64" t="s">
        <v>3352</v>
      </c>
    </row>
    <row r="65" spans="1:7" ht="11.25" customHeight="1">
      <c r="A65" t="s">
        <v>16</v>
      </c>
      <c r="B65" t="s">
        <v>3333</v>
      </c>
      <c r="C65" t="s">
        <v>3334</v>
      </c>
      <c r="D65" t="s">
        <v>3353</v>
      </c>
      <c r="E65" t="s">
        <v>3354</v>
      </c>
      <c r="F65" t="s">
        <v>3223</v>
      </c>
      <c r="G65" t="s">
        <v>3355</v>
      </c>
    </row>
    <row r="66" spans="1:7" ht="11.25" customHeight="1">
      <c r="A66" t="s">
        <v>16</v>
      </c>
      <c r="B66" t="s">
        <v>3356</v>
      </c>
      <c r="C66" t="s">
        <v>3357</v>
      </c>
      <c r="D66" t="s">
        <v>3358</v>
      </c>
      <c r="E66" t="s">
        <v>3359</v>
      </c>
      <c r="F66" t="s">
        <v>3223</v>
      </c>
      <c r="G66" t="s">
        <v>3360</v>
      </c>
    </row>
    <row r="67" spans="1:7" ht="11.25" customHeight="1">
      <c r="A67" t="s">
        <v>16</v>
      </c>
      <c r="B67" t="s">
        <v>3356</v>
      </c>
      <c r="C67" t="s">
        <v>3357</v>
      </c>
      <c r="D67" t="s">
        <v>3356</v>
      </c>
      <c r="E67" t="s">
        <v>3357</v>
      </c>
      <c r="F67" t="s">
        <v>3220</v>
      </c>
      <c r="G67" t="s">
        <v>2022</v>
      </c>
    </row>
    <row r="68" spans="1:7" ht="11.25" customHeight="1">
      <c r="A68" t="s">
        <v>16</v>
      </c>
      <c r="B68" t="s">
        <v>3356</v>
      </c>
      <c r="C68" t="s">
        <v>3357</v>
      </c>
      <c r="D68" t="s">
        <v>3361</v>
      </c>
      <c r="E68" t="s">
        <v>3362</v>
      </c>
      <c r="F68" t="s">
        <v>3238</v>
      </c>
      <c r="G68" t="s">
        <v>3363</v>
      </c>
    </row>
    <row r="69" spans="1:7" ht="11.25" customHeight="1">
      <c r="A69" t="s">
        <v>16</v>
      </c>
      <c r="B69" t="s">
        <v>3356</v>
      </c>
      <c r="C69" t="s">
        <v>3357</v>
      </c>
      <c r="D69" t="s">
        <v>3364</v>
      </c>
      <c r="E69" t="s">
        <v>3365</v>
      </c>
      <c r="F69" t="s">
        <v>3223</v>
      </c>
      <c r="G69" t="s">
        <v>2225</v>
      </c>
    </row>
    <row r="70" spans="1:7" ht="11.25" customHeight="1">
      <c r="A70" t="s">
        <v>16</v>
      </c>
      <c r="B70" t="s">
        <v>3356</v>
      </c>
      <c r="C70" t="s">
        <v>3357</v>
      </c>
      <c r="D70" t="s">
        <v>3366</v>
      </c>
      <c r="E70" t="s">
        <v>3367</v>
      </c>
      <c r="F70" t="s">
        <v>3223</v>
      </c>
      <c r="G70" t="s">
        <v>3368</v>
      </c>
    </row>
    <row r="71" spans="1:7" ht="11.25" customHeight="1">
      <c r="A71" t="s">
        <v>16</v>
      </c>
      <c r="B71" t="s">
        <v>3356</v>
      </c>
      <c r="C71" t="s">
        <v>3357</v>
      </c>
      <c r="D71" t="s">
        <v>3369</v>
      </c>
      <c r="E71" t="s">
        <v>3370</v>
      </c>
      <c r="F71" t="s">
        <v>3223</v>
      </c>
      <c r="G71" t="s">
        <v>3371</v>
      </c>
    </row>
    <row r="72" spans="1:7" ht="11.25" customHeight="1">
      <c r="A72" t="s">
        <v>16</v>
      </c>
      <c r="B72" t="s">
        <v>3356</v>
      </c>
      <c r="C72" t="s">
        <v>3357</v>
      </c>
      <c r="D72" t="s">
        <v>3372</v>
      </c>
      <c r="E72" t="s">
        <v>3373</v>
      </c>
      <c r="F72" t="s">
        <v>3223</v>
      </c>
      <c r="G72" t="s">
        <v>3374</v>
      </c>
    </row>
    <row r="73" spans="1:7" ht="11.25" customHeight="1">
      <c r="A73" t="s">
        <v>16</v>
      </c>
      <c r="B73" t="s">
        <v>3375</v>
      </c>
      <c r="C73" t="s">
        <v>3376</v>
      </c>
      <c r="D73" t="s">
        <v>3377</v>
      </c>
      <c r="E73" t="s">
        <v>3378</v>
      </c>
      <c r="F73" t="s">
        <v>3223</v>
      </c>
      <c r="G73" t="s">
        <v>3379</v>
      </c>
    </row>
    <row r="74" spans="1:7" ht="11.25" customHeight="1">
      <c r="A74" t="s">
        <v>16</v>
      </c>
      <c r="B74" t="s">
        <v>3375</v>
      </c>
      <c r="C74" t="s">
        <v>3376</v>
      </c>
      <c r="D74" t="s">
        <v>3380</v>
      </c>
      <c r="E74" t="s">
        <v>3381</v>
      </c>
      <c r="F74" t="s">
        <v>3223</v>
      </c>
      <c r="G74" t="s">
        <v>3382</v>
      </c>
    </row>
    <row r="75" spans="1:7" ht="11.25" customHeight="1">
      <c r="A75" t="s">
        <v>16</v>
      </c>
      <c r="B75" t="s">
        <v>3375</v>
      </c>
      <c r="C75" t="s">
        <v>3376</v>
      </c>
      <c r="D75" t="s">
        <v>3383</v>
      </c>
      <c r="E75" t="s">
        <v>3384</v>
      </c>
      <c r="F75" t="s">
        <v>3223</v>
      </c>
      <c r="G75" t="s">
        <v>3385</v>
      </c>
    </row>
    <row r="76" spans="1:7" ht="11.25" customHeight="1">
      <c r="A76" t="s">
        <v>16</v>
      </c>
      <c r="B76" t="s">
        <v>3375</v>
      </c>
      <c r="C76" t="s">
        <v>3376</v>
      </c>
      <c r="D76" t="s">
        <v>3375</v>
      </c>
      <c r="E76" t="s">
        <v>3376</v>
      </c>
      <c r="F76" t="s">
        <v>3220</v>
      </c>
      <c r="G76" t="s">
        <v>3386</v>
      </c>
    </row>
    <row r="77" spans="1:7" ht="11.25" customHeight="1">
      <c r="A77" t="s">
        <v>16</v>
      </c>
      <c r="B77" t="s">
        <v>3375</v>
      </c>
      <c r="C77" t="s">
        <v>3376</v>
      </c>
      <c r="D77" t="s">
        <v>3387</v>
      </c>
      <c r="E77" t="s">
        <v>3388</v>
      </c>
      <c r="F77" t="s">
        <v>3223</v>
      </c>
      <c r="G77" t="s">
        <v>3389</v>
      </c>
    </row>
    <row r="78" spans="1:7" ht="11.25" customHeight="1">
      <c r="A78" t="s">
        <v>16</v>
      </c>
      <c r="B78" t="s">
        <v>3375</v>
      </c>
      <c r="C78" t="s">
        <v>3376</v>
      </c>
      <c r="D78" t="s">
        <v>3390</v>
      </c>
      <c r="E78" t="s">
        <v>3391</v>
      </c>
      <c r="F78" t="s">
        <v>3223</v>
      </c>
      <c r="G78" t="s">
        <v>3392</v>
      </c>
    </row>
    <row r="79" spans="1:7" ht="11.25" customHeight="1">
      <c r="A79" t="s">
        <v>16</v>
      </c>
      <c r="B79" t="s">
        <v>3375</v>
      </c>
      <c r="C79" t="s">
        <v>3376</v>
      </c>
      <c r="D79" t="s">
        <v>3393</v>
      </c>
      <c r="E79" t="s">
        <v>3394</v>
      </c>
      <c r="F79" t="s">
        <v>3223</v>
      </c>
      <c r="G79" t="s">
        <v>3395</v>
      </c>
    </row>
    <row r="80" spans="1:7" ht="11.25" customHeight="1">
      <c r="A80" t="s">
        <v>16</v>
      </c>
      <c r="B80" t="s">
        <v>3375</v>
      </c>
      <c r="C80" t="s">
        <v>3376</v>
      </c>
      <c r="D80" t="s">
        <v>3396</v>
      </c>
      <c r="E80" t="s">
        <v>3397</v>
      </c>
      <c r="F80" t="s">
        <v>3223</v>
      </c>
      <c r="G80" t="s">
        <v>3398</v>
      </c>
    </row>
    <row r="81" spans="1:7" ht="11.25" customHeight="1">
      <c r="A81" t="s">
        <v>16</v>
      </c>
      <c r="B81" t="s">
        <v>3399</v>
      </c>
      <c r="C81" t="s">
        <v>3400</v>
      </c>
      <c r="D81" t="s">
        <v>3401</v>
      </c>
      <c r="E81" t="s">
        <v>3402</v>
      </c>
      <c r="F81" t="s">
        <v>3223</v>
      </c>
      <c r="G81" t="s">
        <v>3403</v>
      </c>
    </row>
    <row r="82" spans="1:7" ht="11.25" customHeight="1">
      <c r="A82" t="s">
        <v>16</v>
      </c>
      <c r="B82" t="s">
        <v>3399</v>
      </c>
      <c r="C82" t="s">
        <v>3400</v>
      </c>
      <c r="D82" t="s">
        <v>3399</v>
      </c>
      <c r="E82" t="s">
        <v>3400</v>
      </c>
      <c r="F82" t="s">
        <v>3220</v>
      </c>
      <c r="G82" t="s">
        <v>3404</v>
      </c>
    </row>
    <row r="83" spans="1:7" ht="11.25" customHeight="1">
      <c r="A83" t="s">
        <v>16</v>
      </c>
      <c r="B83" t="s">
        <v>3399</v>
      </c>
      <c r="C83" t="s">
        <v>3400</v>
      </c>
      <c r="D83" t="s">
        <v>3405</v>
      </c>
      <c r="E83" t="s">
        <v>3406</v>
      </c>
      <c r="F83" t="s">
        <v>3223</v>
      </c>
      <c r="G83" t="s">
        <v>3407</v>
      </c>
    </row>
    <row r="84" spans="1:7" ht="11.25" customHeight="1">
      <c r="A84" t="s">
        <v>16</v>
      </c>
      <c r="B84" t="s">
        <v>3399</v>
      </c>
      <c r="C84" t="s">
        <v>3400</v>
      </c>
      <c r="D84" t="s">
        <v>3408</v>
      </c>
      <c r="E84" t="s">
        <v>3409</v>
      </c>
      <c r="F84" t="s">
        <v>3223</v>
      </c>
      <c r="G84" t="s">
        <v>3410</v>
      </c>
    </row>
    <row r="85" spans="1:7" ht="11.25" customHeight="1">
      <c r="A85" t="s">
        <v>16</v>
      </c>
      <c r="B85" t="s">
        <v>3399</v>
      </c>
      <c r="C85" t="s">
        <v>3400</v>
      </c>
      <c r="D85" t="s">
        <v>3411</v>
      </c>
      <c r="E85" t="s">
        <v>3412</v>
      </c>
      <c r="F85" t="s">
        <v>3223</v>
      </c>
      <c r="G85" t="s">
        <v>3413</v>
      </c>
    </row>
    <row r="86" spans="1:7" ht="11.25" customHeight="1">
      <c r="A86" t="s">
        <v>16</v>
      </c>
      <c r="B86" t="s">
        <v>3399</v>
      </c>
      <c r="C86" t="s">
        <v>3400</v>
      </c>
      <c r="D86" t="s">
        <v>3414</v>
      </c>
      <c r="E86" t="s">
        <v>3415</v>
      </c>
      <c r="F86" t="s">
        <v>3223</v>
      </c>
      <c r="G86" t="s">
        <v>3416</v>
      </c>
    </row>
    <row r="87" spans="1:7" ht="11.25" customHeight="1">
      <c r="A87" t="s">
        <v>16</v>
      </c>
      <c r="B87" t="s">
        <v>3417</v>
      </c>
      <c r="C87" t="s">
        <v>3418</v>
      </c>
      <c r="D87" t="s">
        <v>3419</v>
      </c>
      <c r="E87" t="s">
        <v>3420</v>
      </c>
      <c r="F87" t="s">
        <v>3223</v>
      </c>
      <c r="G87" t="s">
        <v>3421</v>
      </c>
    </row>
    <row r="88" spans="1:7" ht="11.25" customHeight="1">
      <c r="A88" t="s">
        <v>16</v>
      </c>
      <c r="B88" t="s">
        <v>3417</v>
      </c>
      <c r="C88" t="s">
        <v>3418</v>
      </c>
      <c r="D88" t="s">
        <v>3422</v>
      </c>
      <c r="E88" t="s">
        <v>3423</v>
      </c>
      <c r="F88" t="s">
        <v>3223</v>
      </c>
      <c r="G88" t="s">
        <v>3424</v>
      </c>
    </row>
    <row r="89" spans="1:7" ht="11.25" customHeight="1">
      <c r="A89" t="s">
        <v>16</v>
      </c>
      <c r="B89" t="s">
        <v>3417</v>
      </c>
      <c r="C89" t="s">
        <v>3418</v>
      </c>
      <c r="D89" t="s">
        <v>3425</v>
      </c>
      <c r="E89" t="s">
        <v>3426</v>
      </c>
      <c r="F89" t="s">
        <v>3223</v>
      </c>
      <c r="G89" t="s">
        <v>3427</v>
      </c>
    </row>
    <row r="90" spans="1:7" ht="11.25" customHeight="1">
      <c r="A90" t="s">
        <v>16</v>
      </c>
      <c r="B90" t="s">
        <v>3417</v>
      </c>
      <c r="C90" t="s">
        <v>3418</v>
      </c>
      <c r="D90" t="s">
        <v>3417</v>
      </c>
      <c r="E90" t="s">
        <v>3418</v>
      </c>
      <c r="F90" t="s">
        <v>3220</v>
      </c>
      <c r="G90" t="s">
        <v>3428</v>
      </c>
    </row>
    <row r="91" spans="1:7" ht="11.25" customHeight="1">
      <c r="A91" t="s">
        <v>16</v>
      </c>
      <c r="B91" t="s">
        <v>3417</v>
      </c>
      <c r="C91" t="s">
        <v>3418</v>
      </c>
      <c r="D91" t="s">
        <v>3429</v>
      </c>
      <c r="E91" t="s">
        <v>3430</v>
      </c>
      <c r="F91" t="s">
        <v>3223</v>
      </c>
      <c r="G91" t="s">
        <v>3431</v>
      </c>
    </row>
    <row r="92" spans="1:7" ht="11.25" customHeight="1">
      <c r="A92" t="s">
        <v>16</v>
      </c>
      <c r="B92" t="s">
        <v>3417</v>
      </c>
      <c r="C92" t="s">
        <v>3418</v>
      </c>
      <c r="D92" t="s">
        <v>3432</v>
      </c>
      <c r="E92" t="s">
        <v>3433</v>
      </c>
      <c r="F92" t="s">
        <v>3223</v>
      </c>
      <c r="G92" t="s">
        <v>3434</v>
      </c>
    </row>
    <row r="93" spans="1:7" ht="11.25" customHeight="1">
      <c r="A93" t="s">
        <v>16</v>
      </c>
      <c r="B93" t="s">
        <v>3435</v>
      </c>
      <c r="C93" t="s">
        <v>3436</v>
      </c>
      <c r="D93" t="s">
        <v>3437</v>
      </c>
      <c r="E93" t="s">
        <v>3438</v>
      </c>
      <c r="F93" t="s">
        <v>3223</v>
      </c>
      <c r="G93" t="s">
        <v>3439</v>
      </c>
    </row>
    <row r="94" spans="1:7" ht="11.25" customHeight="1">
      <c r="A94" t="s">
        <v>16</v>
      </c>
      <c r="B94" t="s">
        <v>3435</v>
      </c>
      <c r="C94" t="s">
        <v>3436</v>
      </c>
      <c r="D94" t="s">
        <v>3440</v>
      </c>
      <c r="E94" t="s">
        <v>3441</v>
      </c>
      <c r="F94" t="s">
        <v>3223</v>
      </c>
      <c r="G94" t="s">
        <v>3442</v>
      </c>
    </row>
    <row r="95" spans="1:7" ht="11.25" customHeight="1">
      <c r="A95" t="s">
        <v>16</v>
      </c>
      <c r="B95" t="s">
        <v>3435</v>
      </c>
      <c r="C95" t="s">
        <v>3436</v>
      </c>
      <c r="D95" t="s">
        <v>3443</v>
      </c>
      <c r="E95" t="s">
        <v>3444</v>
      </c>
      <c r="F95" t="s">
        <v>3223</v>
      </c>
      <c r="G95" t="s">
        <v>3445</v>
      </c>
    </row>
    <row r="96" spans="1:7" ht="11.25" customHeight="1">
      <c r="A96" t="s">
        <v>16</v>
      </c>
      <c r="B96" t="s">
        <v>3435</v>
      </c>
      <c r="C96" t="s">
        <v>3436</v>
      </c>
      <c r="D96" t="s">
        <v>3435</v>
      </c>
      <c r="E96" t="s">
        <v>3436</v>
      </c>
      <c r="F96" t="s">
        <v>3220</v>
      </c>
      <c r="G96" t="s">
        <v>3446</v>
      </c>
    </row>
    <row r="97" spans="1:7" ht="11.25" customHeight="1">
      <c r="A97" t="s">
        <v>16</v>
      </c>
      <c r="B97" t="s">
        <v>3435</v>
      </c>
      <c r="C97" t="s">
        <v>3436</v>
      </c>
      <c r="D97" t="s">
        <v>3447</v>
      </c>
      <c r="E97" t="s">
        <v>3448</v>
      </c>
      <c r="F97" t="s">
        <v>3223</v>
      </c>
      <c r="G97" t="s">
        <v>3449</v>
      </c>
    </row>
    <row r="98" spans="1:7" ht="11.25" customHeight="1">
      <c r="A98" t="s">
        <v>16</v>
      </c>
      <c r="B98" t="s">
        <v>3435</v>
      </c>
      <c r="C98" t="s">
        <v>3436</v>
      </c>
      <c r="D98" t="s">
        <v>3450</v>
      </c>
      <c r="E98" t="s">
        <v>3451</v>
      </c>
      <c r="F98" t="s">
        <v>3223</v>
      </c>
      <c r="G98" t="s">
        <v>3452</v>
      </c>
    </row>
    <row r="99" spans="1:7" ht="11.25" customHeight="1">
      <c r="A99" t="s">
        <v>16</v>
      </c>
      <c r="B99" t="s">
        <v>3435</v>
      </c>
      <c r="C99" t="s">
        <v>3436</v>
      </c>
      <c r="D99" t="s">
        <v>3453</v>
      </c>
      <c r="E99" t="s">
        <v>3454</v>
      </c>
      <c r="F99" t="s">
        <v>3223</v>
      </c>
      <c r="G99" t="s">
        <v>3455</v>
      </c>
    </row>
    <row r="100" spans="1:7" ht="11.25" customHeight="1">
      <c r="A100" t="s">
        <v>16</v>
      </c>
      <c r="B100" t="s">
        <v>3456</v>
      </c>
      <c r="C100" t="s">
        <v>3457</v>
      </c>
      <c r="D100" t="s">
        <v>3458</v>
      </c>
      <c r="E100" t="s">
        <v>3459</v>
      </c>
      <c r="F100" t="s">
        <v>3223</v>
      </c>
      <c r="G100" t="s">
        <v>3460</v>
      </c>
    </row>
    <row r="101" spans="1:7" ht="11.25" customHeight="1">
      <c r="A101" t="s">
        <v>16</v>
      </c>
      <c r="B101" t="s">
        <v>3456</v>
      </c>
      <c r="C101" t="s">
        <v>3457</v>
      </c>
      <c r="D101" t="s">
        <v>3461</v>
      </c>
      <c r="E101" t="s">
        <v>3462</v>
      </c>
      <c r="F101" t="s">
        <v>3223</v>
      </c>
      <c r="G101" t="s">
        <v>3463</v>
      </c>
    </row>
    <row r="102" spans="1:7" ht="11.25" customHeight="1">
      <c r="A102" t="s">
        <v>16</v>
      </c>
      <c r="B102" t="s">
        <v>3456</v>
      </c>
      <c r="C102" t="s">
        <v>3457</v>
      </c>
      <c r="D102" t="s">
        <v>3456</v>
      </c>
      <c r="E102" t="s">
        <v>3457</v>
      </c>
      <c r="F102" t="s">
        <v>3220</v>
      </c>
      <c r="G102" t="s">
        <v>3464</v>
      </c>
    </row>
    <row r="103" spans="1:7" ht="11.25" customHeight="1">
      <c r="A103" t="s">
        <v>16</v>
      </c>
      <c r="B103" t="s">
        <v>3456</v>
      </c>
      <c r="C103" t="s">
        <v>3457</v>
      </c>
      <c r="D103" t="s">
        <v>3465</v>
      </c>
      <c r="E103" t="s">
        <v>3466</v>
      </c>
      <c r="F103" t="s">
        <v>3223</v>
      </c>
      <c r="G103" t="s">
        <v>3467</v>
      </c>
    </row>
    <row r="104" spans="1:7" ht="11.25" customHeight="1">
      <c r="A104" t="s">
        <v>16</v>
      </c>
      <c r="B104" t="s">
        <v>3456</v>
      </c>
      <c r="C104" t="s">
        <v>3457</v>
      </c>
      <c r="D104" t="s">
        <v>3468</v>
      </c>
      <c r="E104" t="s">
        <v>3469</v>
      </c>
      <c r="F104" t="s">
        <v>3223</v>
      </c>
      <c r="G104" t="s">
        <v>3470</v>
      </c>
    </row>
    <row r="105" spans="1:7" ht="11.25" customHeight="1">
      <c r="A105" t="s">
        <v>16</v>
      </c>
      <c r="B105" t="s">
        <v>100</v>
      </c>
      <c r="C105" t="s">
        <v>3471</v>
      </c>
      <c r="D105" t="s">
        <v>3472</v>
      </c>
      <c r="E105" t="s">
        <v>3473</v>
      </c>
      <c r="F105" t="s">
        <v>3223</v>
      </c>
      <c r="G105" t="s">
        <v>3474</v>
      </c>
    </row>
    <row r="106" spans="1:7" ht="11.25" customHeight="1">
      <c r="A106" t="s">
        <v>16</v>
      </c>
      <c r="B106" t="s">
        <v>100</v>
      </c>
      <c r="C106" t="s">
        <v>3471</v>
      </c>
      <c r="D106" t="s">
        <v>3475</v>
      </c>
      <c r="E106" t="s">
        <v>3476</v>
      </c>
      <c r="F106" t="s">
        <v>3223</v>
      </c>
      <c r="G106" t="s">
        <v>3477</v>
      </c>
    </row>
    <row r="107" spans="1:7" ht="11.25" customHeight="1">
      <c r="A107" t="s">
        <v>16</v>
      </c>
      <c r="B107" t="s">
        <v>100</v>
      </c>
      <c r="C107" t="s">
        <v>3471</v>
      </c>
      <c r="D107" t="s">
        <v>101</v>
      </c>
      <c r="E107" t="s">
        <v>102</v>
      </c>
      <c r="F107" t="s">
        <v>3223</v>
      </c>
      <c r="G107" t="s">
        <v>99</v>
      </c>
    </row>
    <row r="108" spans="1:7" ht="11.25" customHeight="1">
      <c r="A108" t="s">
        <v>16</v>
      </c>
      <c r="B108" t="s">
        <v>100</v>
      </c>
      <c r="C108" t="s">
        <v>3471</v>
      </c>
      <c r="D108" t="s">
        <v>3478</v>
      </c>
      <c r="E108" t="s">
        <v>3479</v>
      </c>
      <c r="F108" t="s">
        <v>3223</v>
      </c>
      <c r="G108" t="s">
        <v>3480</v>
      </c>
    </row>
    <row r="109" spans="1:7" ht="11.25" customHeight="1">
      <c r="A109" t="s">
        <v>16</v>
      </c>
      <c r="B109" t="s">
        <v>100</v>
      </c>
      <c r="C109" t="s">
        <v>3471</v>
      </c>
      <c r="D109" t="s">
        <v>3481</v>
      </c>
      <c r="E109" t="s">
        <v>3482</v>
      </c>
      <c r="F109" t="s">
        <v>3223</v>
      </c>
      <c r="G109" t="s">
        <v>3483</v>
      </c>
    </row>
    <row r="110" spans="1:7" ht="11.25" customHeight="1">
      <c r="A110" t="s">
        <v>16</v>
      </c>
      <c r="B110" t="s">
        <v>100</v>
      </c>
      <c r="C110" t="s">
        <v>3471</v>
      </c>
      <c r="D110" t="s">
        <v>3484</v>
      </c>
      <c r="E110" t="s">
        <v>3485</v>
      </c>
      <c r="F110" t="s">
        <v>3223</v>
      </c>
      <c r="G110" t="s">
        <v>3486</v>
      </c>
    </row>
    <row r="111" spans="1:7" ht="11.25" customHeight="1">
      <c r="A111" t="s">
        <v>16</v>
      </c>
      <c r="B111" t="s">
        <v>100</v>
      </c>
      <c r="C111" t="s">
        <v>3471</v>
      </c>
      <c r="D111" t="s">
        <v>3487</v>
      </c>
      <c r="E111" t="s">
        <v>3488</v>
      </c>
      <c r="F111" t="s">
        <v>3223</v>
      </c>
      <c r="G111" t="s">
        <v>3489</v>
      </c>
    </row>
    <row r="112" spans="1:7" ht="11.25" customHeight="1">
      <c r="A112" t="s">
        <v>16</v>
      </c>
      <c r="B112" t="s">
        <v>100</v>
      </c>
      <c r="C112" t="s">
        <v>3471</v>
      </c>
      <c r="D112" t="s">
        <v>3490</v>
      </c>
      <c r="E112" t="s">
        <v>3491</v>
      </c>
      <c r="F112" t="s">
        <v>3223</v>
      </c>
      <c r="G112" t="s">
        <v>3492</v>
      </c>
    </row>
    <row r="113" spans="1:7" ht="11.25" customHeight="1">
      <c r="A113" t="s">
        <v>16</v>
      </c>
      <c r="B113" t="s">
        <v>100</v>
      </c>
      <c r="C113" t="s">
        <v>3471</v>
      </c>
      <c r="D113" t="s">
        <v>3493</v>
      </c>
      <c r="E113" t="s">
        <v>3494</v>
      </c>
      <c r="F113" t="s">
        <v>3223</v>
      </c>
      <c r="G113" t="s">
        <v>3495</v>
      </c>
    </row>
    <row r="114" spans="1:7" ht="11.25" customHeight="1">
      <c r="A114" t="s">
        <v>16</v>
      </c>
      <c r="B114" t="s">
        <v>100</v>
      </c>
      <c r="C114" t="s">
        <v>3471</v>
      </c>
      <c r="D114" t="s">
        <v>3339</v>
      </c>
      <c r="E114" t="s">
        <v>3496</v>
      </c>
      <c r="F114" t="s">
        <v>3223</v>
      </c>
      <c r="G114" t="s">
        <v>3497</v>
      </c>
    </row>
    <row r="115" spans="1:7" ht="11.25" customHeight="1">
      <c r="A115" t="s">
        <v>16</v>
      </c>
      <c r="B115" t="s">
        <v>100</v>
      </c>
      <c r="C115" t="s">
        <v>3471</v>
      </c>
      <c r="D115" t="s">
        <v>3498</v>
      </c>
      <c r="E115" t="s">
        <v>3499</v>
      </c>
      <c r="F115" t="s">
        <v>3223</v>
      </c>
      <c r="G115" t="s">
        <v>3500</v>
      </c>
    </row>
    <row r="116" spans="1:7" ht="11.25" customHeight="1">
      <c r="A116" t="s">
        <v>16</v>
      </c>
      <c r="B116" t="s">
        <v>100</v>
      </c>
      <c r="C116" t="s">
        <v>3471</v>
      </c>
      <c r="D116" t="s">
        <v>3501</v>
      </c>
      <c r="E116" t="s">
        <v>3502</v>
      </c>
      <c r="F116" t="s">
        <v>3223</v>
      </c>
      <c r="G116" t="s">
        <v>3503</v>
      </c>
    </row>
    <row r="117" spans="1:7" ht="11.25" customHeight="1">
      <c r="A117" t="s">
        <v>16</v>
      </c>
      <c r="B117" t="s">
        <v>100</v>
      </c>
      <c r="C117" t="s">
        <v>3471</v>
      </c>
      <c r="D117" t="s">
        <v>3504</v>
      </c>
      <c r="E117" t="s">
        <v>3505</v>
      </c>
      <c r="F117" t="s">
        <v>3223</v>
      </c>
      <c r="G117" t="s">
        <v>3506</v>
      </c>
    </row>
    <row r="118" spans="1:7" ht="11.25" customHeight="1">
      <c r="A118" t="s">
        <v>16</v>
      </c>
      <c r="B118" t="s">
        <v>100</v>
      </c>
      <c r="C118" t="s">
        <v>3471</v>
      </c>
      <c r="D118" t="s">
        <v>3507</v>
      </c>
      <c r="E118" t="s">
        <v>3508</v>
      </c>
      <c r="F118" t="s">
        <v>3223</v>
      </c>
      <c r="G118" t="s">
        <v>3509</v>
      </c>
    </row>
    <row r="119" spans="1:7" ht="11.25" customHeight="1">
      <c r="A119" t="s">
        <v>16</v>
      </c>
      <c r="B119" t="s">
        <v>100</v>
      </c>
      <c r="C119" t="s">
        <v>3471</v>
      </c>
      <c r="D119" t="s">
        <v>3510</v>
      </c>
      <c r="E119" t="s">
        <v>3511</v>
      </c>
      <c r="F119" t="s">
        <v>3223</v>
      </c>
      <c r="G119" t="s">
        <v>3512</v>
      </c>
    </row>
    <row r="120" spans="1:7" ht="11.25" customHeight="1">
      <c r="A120" t="s">
        <v>16</v>
      </c>
      <c r="B120" t="s">
        <v>100</v>
      </c>
      <c r="C120" t="s">
        <v>3471</v>
      </c>
      <c r="D120" t="s">
        <v>3230</v>
      </c>
      <c r="E120" t="s">
        <v>3513</v>
      </c>
      <c r="F120" t="s">
        <v>3223</v>
      </c>
      <c r="G120" t="s">
        <v>3514</v>
      </c>
    </row>
    <row r="121" spans="1:7" ht="11.25" customHeight="1">
      <c r="A121" t="s">
        <v>16</v>
      </c>
      <c r="B121" t="s">
        <v>100</v>
      </c>
      <c r="C121" t="s">
        <v>3471</v>
      </c>
      <c r="D121" t="s">
        <v>3515</v>
      </c>
      <c r="E121" t="s">
        <v>3516</v>
      </c>
      <c r="F121" t="s">
        <v>3223</v>
      </c>
      <c r="G121" t="s">
        <v>3517</v>
      </c>
    </row>
    <row r="122" spans="1:7" ht="11.25" customHeight="1">
      <c r="A122" t="s">
        <v>16</v>
      </c>
      <c r="B122" t="s">
        <v>100</v>
      </c>
      <c r="C122" t="s">
        <v>3471</v>
      </c>
      <c r="D122" t="s">
        <v>3518</v>
      </c>
      <c r="E122" t="s">
        <v>3519</v>
      </c>
      <c r="F122" t="s">
        <v>3223</v>
      </c>
      <c r="G122" t="s">
        <v>3520</v>
      </c>
    </row>
    <row r="123" spans="1:7" ht="11.25" customHeight="1">
      <c r="A123" t="s">
        <v>16</v>
      </c>
      <c r="B123" t="s">
        <v>100</v>
      </c>
      <c r="C123" t="s">
        <v>3471</v>
      </c>
      <c r="D123" t="s">
        <v>100</v>
      </c>
      <c r="E123" t="s">
        <v>3471</v>
      </c>
      <c r="F123" t="s">
        <v>3220</v>
      </c>
      <c r="G123" t="s">
        <v>3521</v>
      </c>
    </row>
    <row r="124" spans="1:7" ht="11.25" customHeight="1">
      <c r="A124" t="s">
        <v>16</v>
      </c>
      <c r="B124" t="s">
        <v>100</v>
      </c>
      <c r="C124" t="s">
        <v>3471</v>
      </c>
      <c r="D124" t="s">
        <v>3522</v>
      </c>
      <c r="E124" t="s">
        <v>3523</v>
      </c>
      <c r="F124" t="s">
        <v>3223</v>
      </c>
      <c r="G124" t="s">
        <v>3524</v>
      </c>
    </row>
    <row r="125" spans="1:7" ht="11.25" customHeight="1">
      <c r="A125" t="s">
        <v>16</v>
      </c>
      <c r="B125" t="s">
        <v>3525</v>
      </c>
      <c r="C125" t="s">
        <v>3526</v>
      </c>
      <c r="D125" t="s">
        <v>3527</v>
      </c>
      <c r="E125" t="s">
        <v>3528</v>
      </c>
      <c r="F125" t="s">
        <v>3223</v>
      </c>
      <c r="G125" t="s">
        <v>3529</v>
      </c>
    </row>
    <row r="126" spans="1:7" ht="11.25" customHeight="1">
      <c r="A126" t="s">
        <v>16</v>
      </c>
      <c r="B126" t="s">
        <v>3525</v>
      </c>
      <c r="C126" t="s">
        <v>3526</v>
      </c>
      <c r="D126" t="s">
        <v>3530</v>
      </c>
      <c r="E126" t="s">
        <v>3531</v>
      </c>
      <c r="F126" t="s">
        <v>3223</v>
      </c>
      <c r="G126" t="s">
        <v>3532</v>
      </c>
    </row>
    <row r="127" spans="1:7" ht="11.25" customHeight="1">
      <c r="A127" t="s">
        <v>16</v>
      </c>
      <c r="B127" t="s">
        <v>3525</v>
      </c>
      <c r="C127" t="s">
        <v>3526</v>
      </c>
      <c r="D127" t="s">
        <v>3533</v>
      </c>
      <c r="E127" t="s">
        <v>3534</v>
      </c>
      <c r="F127" t="s">
        <v>3223</v>
      </c>
      <c r="G127" t="s">
        <v>3535</v>
      </c>
    </row>
    <row r="128" spans="1:7" ht="11.25" customHeight="1">
      <c r="A128" t="s">
        <v>16</v>
      </c>
      <c r="B128" t="s">
        <v>3525</v>
      </c>
      <c r="C128" t="s">
        <v>3526</v>
      </c>
      <c r="D128" t="s">
        <v>3525</v>
      </c>
      <c r="E128" t="s">
        <v>3526</v>
      </c>
      <c r="F128" t="s">
        <v>3220</v>
      </c>
      <c r="G128" t="s">
        <v>3536</v>
      </c>
    </row>
    <row r="129" spans="1:7" ht="11.25" customHeight="1">
      <c r="A129" t="s">
        <v>16</v>
      </c>
      <c r="B129" t="s">
        <v>3525</v>
      </c>
      <c r="C129" t="s">
        <v>3526</v>
      </c>
      <c r="D129" t="s">
        <v>3537</v>
      </c>
      <c r="E129" t="s">
        <v>3538</v>
      </c>
      <c r="F129" t="s">
        <v>3223</v>
      </c>
      <c r="G129" t="s">
        <v>3539</v>
      </c>
    </row>
    <row r="130" spans="1:7" ht="11.25" customHeight="1">
      <c r="A130" t="s">
        <v>16</v>
      </c>
      <c r="B130" t="s">
        <v>3540</v>
      </c>
      <c r="C130" t="s">
        <v>3541</v>
      </c>
      <c r="D130" t="s">
        <v>3542</v>
      </c>
      <c r="E130" t="s">
        <v>3543</v>
      </c>
      <c r="F130" t="s">
        <v>3223</v>
      </c>
      <c r="G130" t="s">
        <v>3544</v>
      </c>
    </row>
    <row r="131" spans="1:7" ht="11.25" customHeight="1">
      <c r="A131" t="s">
        <v>16</v>
      </c>
      <c r="B131" t="s">
        <v>3540</v>
      </c>
      <c r="C131" t="s">
        <v>3541</v>
      </c>
      <c r="D131" t="s">
        <v>3545</v>
      </c>
      <c r="E131" t="s">
        <v>3546</v>
      </c>
      <c r="F131" t="s">
        <v>3223</v>
      </c>
      <c r="G131" t="s">
        <v>3547</v>
      </c>
    </row>
    <row r="132" spans="1:7" ht="11.25" customHeight="1">
      <c r="A132" t="s">
        <v>16</v>
      </c>
      <c r="B132" t="s">
        <v>3540</v>
      </c>
      <c r="C132" t="s">
        <v>3541</v>
      </c>
      <c r="D132" t="s">
        <v>3548</v>
      </c>
      <c r="E132" t="s">
        <v>3549</v>
      </c>
      <c r="F132" t="s">
        <v>3223</v>
      </c>
      <c r="G132" t="s">
        <v>3550</v>
      </c>
    </row>
    <row r="133" spans="1:7" ht="11.25" customHeight="1">
      <c r="A133" t="s">
        <v>16</v>
      </c>
      <c r="B133" t="s">
        <v>3540</v>
      </c>
      <c r="C133" t="s">
        <v>3541</v>
      </c>
      <c r="D133" t="s">
        <v>3232</v>
      </c>
      <c r="E133" t="s">
        <v>3551</v>
      </c>
      <c r="F133" t="s">
        <v>3223</v>
      </c>
      <c r="G133" t="s">
        <v>3552</v>
      </c>
    </row>
    <row r="134" spans="1:7" ht="11.25" customHeight="1">
      <c r="A134" t="s">
        <v>16</v>
      </c>
      <c r="B134" t="s">
        <v>3540</v>
      </c>
      <c r="C134" t="s">
        <v>3541</v>
      </c>
      <c r="D134" t="s">
        <v>3553</v>
      </c>
      <c r="E134" t="s">
        <v>3554</v>
      </c>
      <c r="F134" t="s">
        <v>3223</v>
      </c>
      <c r="G134" t="s">
        <v>3555</v>
      </c>
    </row>
    <row r="135" spans="1:7" ht="11.25" customHeight="1">
      <c r="A135" t="s">
        <v>16</v>
      </c>
      <c r="B135" t="s">
        <v>3540</v>
      </c>
      <c r="C135" t="s">
        <v>3541</v>
      </c>
      <c r="D135" t="s">
        <v>3540</v>
      </c>
      <c r="E135" t="s">
        <v>3541</v>
      </c>
      <c r="F135" t="s">
        <v>3220</v>
      </c>
      <c r="G135" t="s">
        <v>3556</v>
      </c>
    </row>
    <row r="136" spans="1:7" ht="11.25" customHeight="1">
      <c r="A136" t="s">
        <v>16</v>
      </c>
      <c r="B136" t="s">
        <v>3540</v>
      </c>
      <c r="C136" t="s">
        <v>3541</v>
      </c>
      <c r="D136" t="s">
        <v>3557</v>
      </c>
      <c r="E136" t="s">
        <v>3558</v>
      </c>
      <c r="F136" t="s">
        <v>3223</v>
      </c>
      <c r="G136" t="s">
        <v>3559</v>
      </c>
    </row>
  </sheetData>
  <sheetProtection insertRows="0" deleteColumns="0" deleteRows="0" sort="0" autoFilter="0"/>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1DD9C6-B935-331C-F92B-F4505DC7182F}">
  <sheetPr>
    <tabColor rgb="FFFFCC99"/>
  </sheetPr>
  <dimension ref="A1:I7"/>
  <sheetViews>
    <sheetView showGridLines="0" workbookViewId="0"/>
  </sheetViews>
  <sheetFormatPr defaultColWidth="9.140625" defaultRowHeight="11.25" customHeight="1"/>
  <cols>
    <col min="1" max="1" width="13.85546875" style="22" customWidth="1"/>
    <col min="2" max="2" width="10.42578125" style="22" customWidth="1"/>
    <col min="3" max="3" width="7.5703125" style="22" customWidth="1"/>
    <col min="4" max="4" width="13.85546875" style="22" customWidth="1"/>
    <col min="5" max="5" width="11.5703125" style="22" customWidth="1"/>
    <col min="6" max="6" width="16.28515625" style="22" customWidth="1"/>
    <col min="7" max="7" width="16" style="22" customWidth="1"/>
    <col min="8" max="9" width="16.140625" style="22" customWidth="1"/>
  </cols>
  <sheetData>
    <row r="1" spans="1:9" ht="11.25" customHeight="1">
      <c r="A1" s="22" t="s">
        <v>3560</v>
      </c>
      <c r="B1" s="22" t="s">
        <v>3561</v>
      </c>
      <c r="C1" s="22" t="s">
        <v>3562</v>
      </c>
      <c r="D1" s="22" t="s">
        <v>3563</v>
      </c>
      <c r="E1" s="22" t="s">
        <v>3564</v>
      </c>
      <c r="F1" s="22" t="s">
        <v>3565</v>
      </c>
      <c r="G1" s="22" t="s">
        <v>3566</v>
      </c>
      <c r="H1" s="22" t="s">
        <v>3567</v>
      </c>
      <c r="I1" s="22" t="s">
        <v>3568</v>
      </c>
    </row>
    <row r="2" spans="1:9" ht="11.25" customHeight="1">
      <c r="A2" s="22" t="s">
        <v>110</v>
      </c>
      <c r="B2" s="22" t="s">
        <v>3569</v>
      </c>
      <c r="C2" s="22" t="s">
        <v>22</v>
      </c>
      <c r="D2" s="22" t="s">
        <v>3570</v>
      </c>
      <c r="E2" s="22" t="s">
        <v>3571</v>
      </c>
      <c r="F2" s="22" t="s">
        <v>22</v>
      </c>
      <c r="G2" s="22" t="s">
        <v>22</v>
      </c>
      <c r="H2" s="22" t="s">
        <v>22</v>
      </c>
      <c r="I2" s="22" t="s">
        <v>22</v>
      </c>
    </row>
    <row r="3" spans="1:9" ht="11.25" customHeight="1">
      <c r="A3" s="22" t="s">
        <v>111</v>
      </c>
      <c r="B3" s="22" t="s">
        <v>3572</v>
      </c>
      <c r="C3" s="22" t="s">
        <v>22</v>
      </c>
      <c r="D3" s="22" t="s">
        <v>3573</v>
      </c>
      <c r="E3" s="22" t="s">
        <v>3574</v>
      </c>
      <c r="F3" s="22" t="s">
        <v>22</v>
      </c>
      <c r="G3" s="22" t="s">
        <v>22</v>
      </c>
      <c r="H3" s="22" t="s">
        <v>22</v>
      </c>
      <c r="I3" s="22" t="s">
        <v>22</v>
      </c>
    </row>
    <row r="4" spans="1:9" ht="11.25" customHeight="1">
      <c r="A4" s="22" t="s">
        <v>90</v>
      </c>
      <c r="B4" s="22" t="s">
        <v>3575</v>
      </c>
      <c r="C4" s="22" t="s">
        <v>22</v>
      </c>
      <c r="D4" s="22" t="s">
        <v>3573</v>
      </c>
      <c r="E4" s="22" t="s">
        <v>3574</v>
      </c>
      <c r="F4" s="22" t="s">
        <v>22</v>
      </c>
      <c r="G4" s="22" t="s">
        <v>22</v>
      </c>
      <c r="H4" s="22" t="s">
        <v>22</v>
      </c>
      <c r="I4" s="22" t="s">
        <v>22</v>
      </c>
    </row>
    <row r="5" spans="1:9" ht="11.25" customHeight="1">
      <c r="A5" s="22" t="s">
        <v>91</v>
      </c>
      <c r="B5" s="22" t="s">
        <v>3576</v>
      </c>
      <c r="C5" s="22" t="s">
        <v>22</v>
      </c>
      <c r="D5" s="22" t="s">
        <v>3577</v>
      </c>
      <c r="E5" s="22" t="s">
        <v>3571</v>
      </c>
      <c r="F5" s="22" t="s">
        <v>22</v>
      </c>
      <c r="G5" s="22" t="s">
        <v>22</v>
      </c>
      <c r="H5" s="22" t="s">
        <v>22</v>
      </c>
      <c r="I5" s="22" t="s">
        <v>22</v>
      </c>
    </row>
    <row r="6" spans="1:9" ht="11.25" customHeight="1">
      <c r="A6" s="22" t="s">
        <v>112</v>
      </c>
      <c r="B6" s="22" t="s">
        <v>3578</v>
      </c>
      <c r="C6" s="22" t="s">
        <v>22</v>
      </c>
      <c r="D6" s="22" t="s">
        <v>3577</v>
      </c>
      <c r="E6" s="22" t="s">
        <v>3579</v>
      </c>
      <c r="F6" s="22" t="s">
        <v>22</v>
      </c>
      <c r="G6" s="22" t="s">
        <v>22</v>
      </c>
      <c r="H6" s="22" t="s">
        <v>22</v>
      </c>
      <c r="I6" s="22" t="s">
        <v>22</v>
      </c>
    </row>
    <row r="7" spans="1:9" ht="11.25" customHeight="1">
      <c r="A7" s="22" t="s">
        <v>92</v>
      </c>
      <c r="B7" s="22" t="s">
        <v>3580</v>
      </c>
      <c r="C7" s="22" t="s">
        <v>22</v>
      </c>
      <c r="D7" s="22" t="s">
        <v>3577</v>
      </c>
      <c r="E7" s="22" t="s">
        <v>3579</v>
      </c>
      <c r="F7" s="22" t="s">
        <v>22</v>
      </c>
      <c r="G7" s="22" t="s">
        <v>22</v>
      </c>
      <c r="H7" s="22" t="s">
        <v>22</v>
      </c>
      <c r="I7" s="22" t="s">
        <v>22</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6808CF-1B13-5A49-CC3E-3B368C74D676}">
  <sheetPr>
    <tabColor rgb="FFFFCC99"/>
  </sheetPr>
  <dimension ref="A1"/>
  <sheetViews>
    <sheetView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2BDBF4-A9B1-2E3E-18B9-BF9063431833}">
  <sheetPr>
    <tabColor rgb="FFFFCC99"/>
  </sheetPr>
  <dimension ref="A1:B2"/>
  <sheetViews>
    <sheetView showGridLines="0" workbookViewId="0"/>
  </sheetViews>
  <sheetFormatPr defaultColWidth="9.140625" defaultRowHeight="11.25" customHeight="1"/>
  <cols>
    <col min="1" max="2" width="9.140625" style="62"/>
  </cols>
  <sheetData>
    <row r="1" spans="1:2" ht="11.25" customHeight="1">
      <c r="A1" s="62" t="s">
        <v>135</v>
      </c>
      <c r="B1" s="62" t="s">
        <v>3581</v>
      </c>
    </row>
    <row r="2" spans="1:2" ht="11.25" customHeight="1">
      <c r="A2" s="62" t="s">
        <v>98</v>
      </c>
      <c r="B2" s="62" t="s">
        <v>3582</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F42DF2-4656-12AA-BD98-D44BB6109A63}">
  <sheetPr>
    <tabColor rgb="FFFFCC99"/>
  </sheetPr>
  <dimension ref="A1:B11"/>
  <sheetViews>
    <sheetView showGridLines="0" workbookViewId="0"/>
  </sheetViews>
  <sheetFormatPr defaultColWidth="9.140625" defaultRowHeight="11.25" customHeight="1"/>
  <cols>
    <col min="1" max="1" width="9.140625" style="22"/>
    <col min="2" max="2" width="65.28515625" style="22" customWidth="1"/>
  </cols>
  <sheetData>
    <row r="1" spans="1:2" ht="11.25" customHeight="1">
      <c r="A1" s="22" t="s">
        <v>3583</v>
      </c>
      <c r="B1" s="22" t="s">
        <v>3584</v>
      </c>
    </row>
    <row r="2" spans="1:2" ht="11.25" customHeight="1">
      <c r="A2" s="22">
        <v>4213775</v>
      </c>
      <c r="B2" s="22" t="s">
        <v>1224</v>
      </c>
    </row>
    <row r="3" spans="1:2" ht="11.25" customHeight="1">
      <c r="A3" s="22">
        <v>4213784</v>
      </c>
      <c r="B3" s="22" t="s">
        <v>1256</v>
      </c>
    </row>
    <row r="4" spans="1:2" ht="11.25" customHeight="1">
      <c r="A4" s="22">
        <v>4213781</v>
      </c>
      <c r="B4" s="22" t="s">
        <v>1249</v>
      </c>
    </row>
    <row r="5" spans="1:2" ht="11.25" customHeight="1">
      <c r="A5" s="22">
        <v>4213776</v>
      </c>
      <c r="B5" s="22" t="s">
        <v>171</v>
      </c>
    </row>
    <row r="6" spans="1:2" ht="11.25" customHeight="1">
      <c r="A6" s="22">
        <v>4213777</v>
      </c>
      <c r="B6" s="22" t="s">
        <v>177</v>
      </c>
    </row>
    <row r="7" spans="1:2" ht="11.25" customHeight="1">
      <c r="A7" s="22">
        <v>4213778</v>
      </c>
      <c r="B7" s="22" t="s">
        <v>183</v>
      </c>
    </row>
    <row r="8" spans="1:2" ht="11.25" customHeight="1">
      <c r="A8" s="22">
        <v>4213780</v>
      </c>
      <c r="B8" s="22" t="s">
        <v>189</v>
      </c>
    </row>
    <row r="9" spans="1:2" ht="11.25" customHeight="1">
      <c r="A9" s="22">
        <v>4213779</v>
      </c>
      <c r="B9" s="22" t="s">
        <v>1390</v>
      </c>
    </row>
    <row r="10" spans="1:2" ht="11.25" customHeight="1">
      <c r="A10" s="22">
        <v>4213783</v>
      </c>
      <c r="B10" s="22" t="s">
        <v>1405</v>
      </c>
    </row>
    <row r="11" spans="1:2" ht="11.25" customHeight="1">
      <c r="A11" s="22">
        <v>4213782</v>
      </c>
      <c r="B11" s="22" t="s">
        <v>195</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923E74-CD11-630E-AA4B-4708FE793EAA}">
  <sheetPr>
    <tabColor rgb="FFFFCC99"/>
  </sheetPr>
  <dimension ref="A1:B11"/>
  <sheetViews>
    <sheetView showGridLines="0" workbookViewId="0"/>
  </sheetViews>
  <sheetFormatPr defaultColWidth="9.140625" defaultRowHeight="11.25" customHeight="1"/>
  <cols>
    <col min="1" max="1" width="9.140625" style="22"/>
    <col min="2" max="2" width="65.28515625" style="22" customWidth="1"/>
  </cols>
  <sheetData>
    <row r="1" spans="1:2" ht="11.25" customHeight="1">
      <c r="A1" s="22" t="s">
        <v>3583</v>
      </c>
      <c r="B1" s="22" t="s">
        <v>3585</v>
      </c>
    </row>
    <row r="2" spans="1:2" ht="11.25" customHeight="1">
      <c r="A2" s="22" t="s">
        <v>3586</v>
      </c>
      <c r="B2" s="22" t="s">
        <v>1503</v>
      </c>
    </row>
    <row r="3" spans="1:2" ht="11.25" customHeight="1">
      <c r="A3" s="22" t="s">
        <v>3587</v>
      </c>
      <c r="B3" s="22" t="s">
        <v>1513</v>
      </c>
    </row>
    <row r="4" spans="1:2" ht="11.25" customHeight="1">
      <c r="A4" s="22" t="s">
        <v>3588</v>
      </c>
      <c r="B4" s="22" t="s">
        <v>1522</v>
      </c>
    </row>
    <row r="5" spans="1:2" ht="11.25" customHeight="1">
      <c r="A5" s="22" t="s">
        <v>3589</v>
      </c>
      <c r="B5" s="22" t="s">
        <v>1531</v>
      </c>
    </row>
    <row r="6" spans="1:2" ht="11.25" customHeight="1">
      <c r="A6" s="22" t="s">
        <v>3590</v>
      </c>
      <c r="B6" s="22" t="s">
        <v>1537</v>
      </c>
    </row>
    <row r="7" spans="1:2" ht="11.25" customHeight="1">
      <c r="A7" s="22" t="s">
        <v>3591</v>
      </c>
      <c r="B7" s="22" t="s">
        <v>1545</v>
      </c>
    </row>
    <row r="8" spans="1:2" ht="11.25" customHeight="1">
      <c r="A8" s="22" t="s">
        <v>3592</v>
      </c>
      <c r="B8" s="22" t="s">
        <v>1552</v>
      </c>
    </row>
    <row r="9" spans="1:2" ht="11.25" customHeight="1">
      <c r="A9" s="22" t="s">
        <v>3593</v>
      </c>
      <c r="B9" s="22" t="s">
        <v>1558</v>
      </c>
    </row>
    <row r="10" spans="1:2" ht="11.25" customHeight="1">
      <c r="A10" s="22" t="s">
        <v>3594</v>
      </c>
      <c r="B10" s="22" t="s">
        <v>1562</v>
      </c>
    </row>
    <row r="11" spans="1:2" ht="11.25" customHeight="1">
      <c r="A11" s="22" t="s">
        <v>3595</v>
      </c>
      <c r="B11" s="22" t="s">
        <v>1569</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E9731E-4976-4EFB-4528-599DF2875F49}">
  <sheetPr>
    <tabColor rgb="FFFFCC99"/>
  </sheetPr>
  <dimension ref="A1:G136"/>
  <sheetViews>
    <sheetView showGridLines="0" workbookViewId="0"/>
  </sheetViews>
  <sheetFormatPr defaultRowHeight="11.25" customHeight="1"/>
  <sheetData>
    <row r="1" spans="1:7" ht="11.25" customHeight="1">
      <c r="A1" t="s">
        <v>3211</v>
      </c>
      <c r="B1" t="s">
        <v>3212</v>
      </c>
      <c r="C1" t="s">
        <v>3213</v>
      </c>
      <c r="D1" t="s">
        <v>3214</v>
      </c>
      <c r="E1" t="s">
        <v>3215</v>
      </c>
      <c r="F1" t="s">
        <v>3216</v>
      </c>
      <c r="G1" t="s">
        <v>3217</v>
      </c>
    </row>
    <row r="2" spans="1:7" ht="11.25" customHeight="1">
      <c r="A2" t="s">
        <v>16</v>
      </c>
      <c r="B2" t="s">
        <v>3218</v>
      </c>
      <c r="C2" t="s">
        <v>3219</v>
      </c>
      <c r="D2" t="s">
        <v>3218</v>
      </c>
      <c r="E2" t="s">
        <v>3219</v>
      </c>
      <c r="F2" t="s">
        <v>3220</v>
      </c>
      <c r="G2" t="s">
        <v>110</v>
      </c>
    </row>
    <row r="3" spans="1:7" ht="11.25" customHeight="1">
      <c r="A3" t="s">
        <v>16</v>
      </c>
      <c r="B3" t="s">
        <v>3218</v>
      </c>
      <c r="C3" t="s">
        <v>3219</v>
      </c>
      <c r="D3" t="s">
        <v>3221</v>
      </c>
      <c r="E3" t="s">
        <v>3222</v>
      </c>
      <c r="F3" t="s">
        <v>3223</v>
      </c>
      <c r="G3" t="s">
        <v>111</v>
      </c>
    </row>
    <row r="4" spans="1:7" ht="11.25" customHeight="1">
      <c r="A4" t="s">
        <v>16</v>
      </c>
      <c r="B4" t="s">
        <v>3218</v>
      </c>
      <c r="C4" t="s">
        <v>3219</v>
      </c>
      <c r="D4" t="s">
        <v>3224</v>
      </c>
      <c r="E4" t="s">
        <v>3225</v>
      </c>
      <c r="F4" t="s">
        <v>3223</v>
      </c>
      <c r="G4" t="s">
        <v>90</v>
      </c>
    </row>
    <row r="5" spans="1:7" ht="11.25" customHeight="1">
      <c r="A5" t="s">
        <v>16</v>
      </c>
      <c r="B5" t="s">
        <v>3218</v>
      </c>
      <c r="C5" t="s">
        <v>3219</v>
      </c>
      <c r="D5" t="s">
        <v>3226</v>
      </c>
      <c r="E5" t="s">
        <v>3227</v>
      </c>
      <c r="F5" t="s">
        <v>3223</v>
      </c>
      <c r="G5" t="s">
        <v>91</v>
      </c>
    </row>
    <row r="6" spans="1:7" ht="11.25" customHeight="1">
      <c r="A6" t="s">
        <v>16</v>
      </c>
      <c r="B6" t="s">
        <v>3218</v>
      </c>
      <c r="C6" t="s">
        <v>3219</v>
      </c>
      <c r="D6" t="s">
        <v>3228</v>
      </c>
      <c r="E6" t="s">
        <v>3229</v>
      </c>
      <c r="F6" t="s">
        <v>3223</v>
      </c>
      <c r="G6" t="s">
        <v>112</v>
      </c>
    </row>
    <row r="7" spans="1:7" ht="11.25" customHeight="1">
      <c r="A7" t="s">
        <v>16</v>
      </c>
      <c r="B7" t="s">
        <v>3218</v>
      </c>
      <c r="C7" t="s">
        <v>3219</v>
      </c>
      <c r="D7" t="s">
        <v>3230</v>
      </c>
      <c r="E7" t="s">
        <v>3231</v>
      </c>
      <c r="F7" t="s">
        <v>3223</v>
      </c>
      <c r="G7" t="s">
        <v>92</v>
      </c>
    </row>
    <row r="8" spans="1:7" ht="11.25" customHeight="1">
      <c r="A8" t="s">
        <v>16</v>
      </c>
      <c r="B8" t="s">
        <v>3218</v>
      </c>
      <c r="C8" t="s">
        <v>3219</v>
      </c>
      <c r="D8" t="s">
        <v>3232</v>
      </c>
      <c r="E8" t="s">
        <v>3233</v>
      </c>
      <c r="F8" t="s">
        <v>3223</v>
      </c>
      <c r="G8" t="s">
        <v>93</v>
      </c>
    </row>
    <row r="9" spans="1:7" ht="11.25" customHeight="1">
      <c r="A9" t="s">
        <v>16</v>
      </c>
      <c r="B9" t="s">
        <v>3234</v>
      </c>
      <c r="C9" t="s">
        <v>3235</v>
      </c>
      <c r="D9" t="s">
        <v>3234</v>
      </c>
      <c r="E9" t="s">
        <v>3235</v>
      </c>
      <c r="F9" t="s">
        <v>3220</v>
      </c>
      <c r="G9" t="s">
        <v>113</v>
      </c>
    </row>
    <row r="10" spans="1:7" ht="11.25" customHeight="1">
      <c r="A10" t="s">
        <v>16</v>
      </c>
      <c r="B10" t="s">
        <v>3234</v>
      </c>
      <c r="C10" t="s">
        <v>3235</v>
      </c>
      <c r="D10" t="s">
        <v>3236</v>
      </c>
      <c r="E10" t="s">
        <v>3237</v>
      </c>
      <c r="F10" t="s">
        <v>3238</v>
      </c>
      <c r="G10" t="s">
        <v>153</v>
      </c>
    </row>
    <row r="11" spans="1:7" ht="11.25" customHeight="1">
      <c r="A11" t="s">
        <v>16</v>
      </c>
      <c r="B11" t="s">
        <v>3234</v>
      </c>
      <c r="C11" t="s">
        <v>3235</v>
      </c>
      <c r="D11" t="s">
        <v>3239</v>
      </c>
      <c r="E11" t="s">
        <v>3240</v>
      </c>
      <c r="F11" t="s">
        <v>3223</v>
      </c>
      <c r="G11" t="s">
        <v>154</v>
      </c>
    </row>
    <row r="12" spans="1:7" ht="11.25" customHeight="1">
      <c r="A12" t="s">
        <v>16</v>
      </c>
      <c r="B12" t="s">
        <v>3234</v>
      </c>
      <c r="C12" t="s">
        <v>3235</v>
      </c>
      <c r="D12" t="s">
        <v>3241</v>
      </c>
      <c r="E12" t="s">
        <v>3242</v>
      </c>
      <c r="F12" t="s">
        <v>3223</v>
      </c>
      <c r="G12" t="s">
        <v>155</v>
      </c>
    </row>
    <row r="13" spans="1:7" ht="11.25" customHeight="1">
      <c r="A13" t="s">
        <v>16</v>
      </c>
      <c r="B13" t="s">
        <v>3234</v>
      </c>
      <c r="C13" t="s">
        <v>3235</v>
      </c>
      <c r="D13" t="s">
        <v>3243</v>
      </c>
      <c r="E13" t="s">
        <v>3244</v>
      </c>
      <c r="F13" t="s">
        <v>3223</v>
      </c>
      <c r="G13" t="s">
        <v>156</v>
      </c>
    </row>
    <row r="14" spans="1:7" ht="11.25" customHeight="1">
      <c r="A14" t="s">
        <v>16</v>
      </c>
      <c r="B14" t="s">
        <v>3234</v>
      </c>
      <c r="C14" t="s">
        <v>3235</v>
      </c>
      <c r="D14" t="s">
        <v>3245</v>
      </c>
      <c r="E14" t="s">
        <v>3246</v>
      </c>
      <c r="F14" t="s">
        <v>3223</v>
      </c>
      <c r="G14" t="s">
        <v>157</v>
      </c>
    </row>
    <row r="15" spans="1:7" ht="11.25" customHeight="1">
      <c r="A15" t="s">
        <v>16</v>
      </c>
      <c r="B15" t="s">
        <v>3234</v>
      </c>
      <c r="C15" t="s">
        <v>3235</v>
      </c>
      <c r="D15" t="s">
        <v>3247</v>
      </c>
      <c r="E15" t="s">
        <v>3248</v>
      </c>
      <c r="F15" t="s">
        <v>3223</v>
      </c>
      <c r="G15" t="s">
        <v>158</v>
      </c>
    </row>
    <row r="16" spans="1:7" ht="11.25" customHeight="1">
      <c r="A16" t="s">
        <v>16</v>
      </c>
      <c r="B16" t="s">
        <v>3234</v>
      </c>
      <c r="C16" t="s">
        <v>3235</v>
      </c>
      <c r="D16" t="s">
        <v>3249</v>
      </c>
      <c r="E16" t="s">
        <v>3250</v>
      </c>
      <c r="F16" t="s">
        <v>3223</v>
      </c>
      <c r="G16" t="s">
        <v>1465</v>
      </c>
    </row>
    <row r="17" spans="1:7" ht="11.25" customHeight="1">
      <c r="A17" t="s">
        <v>16</v>
      </c>
      <c r="B17" t="s">
        <v>3251</v>
      </c>
      <c r="C17" t="s">
        <v>3252</v>
      </c>
      <c r="D17" t="s">
        <v>3251</v>
      </c>
      <c r="E17" t="s">
        <v>3252</v>
      </c>
      <c r="F17" t="s">
        <v>3220</v>
      </c>
      <c r="G17" t="s">
        <v>1471</v>
      </c>
    </row>
    <row r="18" spans="1:7" ht="11.25" customHeight="1">
      <c r="A18" t="s">
        <v>16</v>
      </c>
      <c r="B18" t="s">
        <v>3251</v>
      </c>
      <c r="C18" t="s">
        <v>3252</v>
      </c>
      <c r="D18" t="s">
        <v>3253</v>
      </c>
      <c r="E18" t="s">
        <v>3254</v>
      </c>
      <c r="F18" t="s">
        <v>3223</v>
      </c>
      <c r="G18" t="s">
        <v>1483</v>
      </c>
    </row>
    <row r="19" spans="1:7" ht="11.25" customHeight="1">
      <c r="A19" t="s">
        <v>16</v>
      </c>
      <c r="B19" t="s">
        <v>3251</v>
      </c>
      <c r="C19" t="s">
        <v>3252</v>
      </c>
      <c r="D19" t="s">
        <v>3255</v>
      </c>
      <c r="E19" t="s">
        <v>3256</v>
      </c>
      <c r="F19" t="s">
        <v>3223</v>
      </c>
      <c r="G19" t="s">
        <v>1497</v>
      </c>
    </row>
    <row r="20" spans="1:7" ht="11.25" customHeight="1">
      <c r="A20" t="s">
        <v>16</v>
      </c>
      <c r="B20" t="s">
        <v>3251</v>
      </c>
      <c r="C20" t="s">
        <v>3252</v>
      </c>
      <c r="D20" t="s">
        <v>3257</v>
      </c>
      <c r="E20" t="s">
        <v>3258</v>
      </c>
      <c r="F20" t="s">
        <v>3223</v>
      </c>
      <c r="G20" t="s">
        <v>1509</v>
      </c>
    </row>
    <row r="21" spans="1:7" ht="11.25" customHeight="1">
      <c r="A21" t="s">
        <v>16</v>
      </c>
      <c r="B21" t="s">
        <v>3251</v>
      </c>
      <c r="C21" t="s">
        <v>3252</v>
      </c>
      <c r="D21" t="s">
        <v>3259</v>
      </c>
      <c r="E21" t="s">
        <v>3260</v>
      </c>
      <c r="F21" t="s">
        <v>3223</v>
      </c>
      <c r="G21" t="s">
        <v>1518</v>
      </c>
    </row>
    <row r="22" spans="1:7" ht="11.25" customHeight="1">
      <c r="A22" t="s">
        <v>16</v>
      </c>
      <c r="B22" t="s">
        <v>3251</v>
      </c>
      <c r="C22" t="s">
        <v>3252</v>
      </c>
      <c r="D22" t="s">
        <v>3261</v>
      </c>
      <c r="E22" t="s">
        <v>3262</v>
      </c>
      <c r="F22" t="s">
        <v>3223</v>
      </c>
      <c r="G22" t="s">
        <v>1534</v>
      </c>
    </row>
    <row r="23" spans="1:7" ht="11.25" customHeight="1">
      <c r="A23" t="s">
        <v>16</v>
      </c>
      <c r="B23" t="s">
        <v>3251</v>
      </c>
      <c r="C23" t="s">
        <v>3252</v>
      </c>
      <c r="D23" t="s">
        <v>3263</v>
      </c>
      <c r="E23" t="s">
        <v>3264</v>
      </c>
      <c r="F23" t="s">
        <v>3223</v>
      </c>
      <c r="G23" t="s">
        <v>1541</v>
      </c>
    </row>
    <row r="24" spans="1:7" ht="11.25" customHeight="1">
      <c r="A24" t="s">
        <v>16</v>
      </c>
      <c r="B24" t="s">
        <v>3265</v>
      </c>
      <c r="C24" t="s">
        <v>3266</v>
      </c>
      <c r="D24" t="s">
        <v>3267</v>
      </c>
      <c r="E24" t="s">
        <v>3268</v>
      </c>
      <c r="F24" t="s">
        <v>3269</v>
      </c>
      <c r="G24" t="s">
        <v>1549</v>
      </c>
    </row>
    <row r="25" spans="1:7" ht="11.25" customHeight="1">
      <c r="A25" t="s">
        <v>16</v>
      </c>
      <c r="B25" t="s">
        <v>3265</v>
      </c>
      <c r="C25" t="s">
        <v>3266</v>
      </c>
      <c r="D25" t="s">
        <v>3265</v>
      </c>
      <c r="E25" t="s">
        <v>3266</v>
      </c>
      <c r="F25" t="s">
        <v>3220</v>
      </c>
      <c r="G25" t="s">
        <v>1556</v>
      </c>
    </row>
    <row r="26" spans="1:7" ht="11.25" customHeight="1">
      <c r="A26" t="s">
        <v>16</v>
      </c>
      <c r="B26" t="s">
        <v>3265</v>
      </c>
      <c r="C26" t="s">
        <v>3266</v>
      </c>
      <c r="D26" t="s">
        <v>3270</v>
      </c>
      <c r="E26" t="s">
        <v>3271</v>
      </c>
      <c r="F26" t="s">
        <v>3223</v>
      </c>
      <c r="G26" t="s">
        <v>1560</v>
      </c>
    </row>
    <row r="27" spans="1:7" ht="11.25" customHeight="1">
      <c r="A27" t="s">
        <v>16</v>
      </c>
      <c r="B27" t="s">
        <v>3265</v>
      </c>
      <c r="C27" t="s">
        <v>3266</v>
      </c>
      <c r="D27" t="s">
        <v>3272</v>
      </c>
      <c r="E27" t="s">
        <v>3273</v>
      </c>
      <c r="F27" t="s">
        <v>3223</v>
      </c>
      <c r="G27" t="s">
        <v>1565</v>
      </c>
    </row>
    <row r="28" spans="1:7" ht="11.25" customHeight="1">
      <c r="A28" t="s">
        <v>16</v>
      </c>
      <c r="B28" t="s">
        <v>3265</v>
      </c>
      <c r="C28" t="s">
        <v>3266</v>
      </c>
      <c r="D28" t="s">
        <v>3274</v>
      </c>
      <c r="E28" t="s">
        <v>3275</v>
      </c>
      <c r="F28" t="s">
        <v>3223</v>
      </c>
      <c r="G28" t="s">
        <v>1573</v>
      </c>
    </row>
    <row r="29" spans="1:7" ht="11.25" customHeight="1">
      <c r="A29" t="s">
        <v>16</v>
      </c>
      <c r="B29" t="s">
        <v>3265</v>
      </c>
      <c r="C29" t="s">
        <v>3266</v>
      </c>
      <c r="D29" t="s">
        <v>3276</v>
      </c>
      <c r="E29" t="s">
        <v>3277</v>
      </c>
      <c r="F29" t="s">
        <v>3223</v>
      </c>
      <c r="G29" t="s">
        <v>1575</v>
      </c>
    </row>
    <row r="30" spans="1:7" ht="11.25" customHeight="1">
      <c r="A30" t="s">
        <v>16</v>
      </c>
      <c r="B30" t="s">
        <v>3265</v>
      </c>
      <c r="C30" t="s">
        <v>3266</v>
      </c>
      <c r="D30" t="s">
        <v>3278</v>
      </c>
      <c r="E30" t="s">
        <v>3279</v>
      </c>
      <c r="F30" t="s">
        <v>3223</v>
      </c>
      <c r="G30" t="s">
        <v>1578</v>
      </c>
    </row>
    <row r="31" spans="1:7" ht="11.25" customHeight="1">
      <c r="A31" t="s">
        <v>16</v>
      </c>
      <c r="B31" t="s">
        <v>3265</v>
      </c>
      <c r="C31" t="s">
        <v>3266</v>
      </c>
      <c r="D31" t="s">
        <v>3280</v>
      </c>
      <c r="E31" t="s">
        <v>3281</v>
      </c>
      <c r="F31" t="s">
        <v>3223</v>
      </c>
      <c r="G31" t="s">
        <v>1584</v>
      </c>
    </row>
    <row r="32" spans="1:7" ht="11.25" customHeight="1">
      <c r="A32" t="s">
        <v>16</v>
      </c>
      <c r="B32" t="s">
        <v>3265</v>
      </c>
      <c r="C32" t="s">
        <v>3266</v>
      </c>
      <c r="D32" t="s">
        <v>3282</v>
      </c>
      <c r="E32" t="s">
        <v>3283</v>
      </c>
      <c r="F32" t="s">
        <v>3223</v>
      </c>
      <c r="G32" t="s">
        <v>1586</v>
      </c>
    </row>
    <row r="33" spans="1:7" ht="11.25" customHeight="1">
      <c r="A33" t="s">
        <v>16</v>
      </c>
      <c r="B33" t="s">
        <v>3265</v>
      </c>
      <c r="C33" t="s">
        <v>3266</v>
      </c>
      <c r="D33" t="s">
        <v>3284</v>
      </c>
      <c r="E33" t="s">
        <v>3285</v>
      </c>
      <c r="F33" t="s">
        <v>3223</v>
      </c>
      <c r="G33" t="s">
        <v>1588</v>
      </c>
    </row>
    <row r="34" spans="1:7" ht="11.25" customHeight="1">
      <c r="A34" t="s">
        <v>16</v>
      </c>
      <c r="B34" t="s">
        <v>3286</v>
      </c>
      <c r="C34" t="s">
        <v>3287</v>
      </c>
      <c r="D34" t="s">
        <v>3286</v>
      </c>
      <c r="E34" t="s">
        <v>3287</v>
      </c>
      <c r="F34" t="s">
        <v>3288</v>
      </c>
      <c r="G34" t="s">
        <v>1590</v>
      </c>
    </row>
    <row r="35" spans="1:7" ht="11.25" customHeight="1">
      <c r="A35" t="s">
        <v>16</v>
      </c>
      <c r="B35" t="s">
        <v>3289</v>
      </c>
      <c r="C35" t="s">
        <v>3290</v>
      </c>
      <c r="D35" t="s">
        <v>3289</v>
      </c>
      <c r="E35" t="s">
        <v>3290</v>
      </c>
      <c r="F35" t="s">
        <v>3288</v>
      </c>
      <c r="G35" t="s">
        <v>1595</v>
      </c>
    </row>
    <row r="36" spans="1:7" ht="11.25" customHeight="1">
      <c r="A36" t="s">
        <v>16</v>
      </c>
      <c r="B36" t="s">
        <v>3291</v>
      </c>
      <c r="C36" t="s">
        <v>3292</v>
      </c>
      <c r="D36" t="s">
        <v>3291</v>
      </c>
      <c r="E36" t="s">
        <v>3292</v>
      </c>
      <c r="F36" t="s">
        <v>3288</v>
      </c>
      <c r="G36" t="s">
        <v>1600</v>
      </c>
    </row>
    <row r="37" spans="1:7" ht="11.25" customHeight="1">
      <c r="A37" t="s">
        <v>16</v>
      </c>
      <c r="B37" t="s">
        <v>3293</v>
      </c>
      <c r="C37" t="s">
        <v>3294</v>
      </c>
      <c r="D37" t="s">
        <v>3293</v>
      </c>
      <c r="E37" t="s">
        <v>3294</v>
      </c>
      <c r="F37" t="s">
        <v>3288</v>
      </c>
      <c r="G37" t="s">
        <v>1604</v>
      </c>
    </row>
    <row r="38" spans="1:7" ht="11.25" customHeight="1">
      <c r="A38" t="s">
        <v>16</v>
      </c>
      <c r="B38" t="s">
        <v>3295</v>
      </c>
      <c r="C38" t="s">
        <v>3296</v>
      </c>
      <c r="D38" t="s">
        <v>3297</v>
      </c>
      <c r="E38" t="s">
        <v>3298</v>
      </c>
      <c r="F38" t="s">
        <v>3223</v>
      </c>
      <c r="G38" t="s">
        <v>1612</v>
      </c>
    </row>
    <row r="39" spans="1:7" ht="11.25" customHeight="1">
      <c r="A39" t="s">
        <v>16</v>
      </c>
      <c r="B39" t="s">
        <v>3295</v>
      </c>
      <c r="C39" t="s">
        <v>3296</v>
      </c>
      <c r="D39" t="s">
        <v>3299</v>
      </c>
      <c r="E39" t="s">
        <v>3300</v>
      </c>
      <c r="F39" t="s">
        <v>3223</v>
      </c>
      <c r="G39" t="s">
        <v>1618</v>
      </c>
    </row>
    <row r="40" spans="1:7" ht="11.25" customHeight="1">
      <c r="A40" t="s">
        <v>16</v>
      </c>
      <c r="B40" t="s">
        <v>3295</v>
      </c>
      <c r="C40" t="s">
        <v>3296</v>
      </c>
      <c r="D40" t="s">
        <v>3295</v>
      </c>
      <c r="E40" t="s">
        <v>3296</v>
      </c>
      <c r="F40" t="s">
        <v>3220</v>
      </c>
      <c r="G40" t="s">
        <v>1623</v>
      </c>
    </row>
    <row r="41" spans="1:7" ht="11.25" customHeight="1">
      <c r="A41" t="s">
        <v>16</v>
      </c>
      <c r="B41" t="s">
        <v>3295</v>
      </c>
      <c r="C41" t="s">
        <v>3296</v>
      </c>
      <c r="D41" t="s">
        <v>3301</v>
      </c>
      <c r="E41" t="s">
        <v>3302</v>
      </c>
      <c r="F41" t="s">
        <v>3223</v>
      </c>
      <c r="G41" t="s">
        <v>1627</v>
      </c>
    </row>
    <row r="42" spans="1:7" ht="11.25" customHeight="1">
      <c r="A42" t="s">
        <v>16</v>
      </c>
      <c r="B42" t="s">
        <v>3295</v>
      </c>
      <c r="C42" t="s">
        <v>3296</v>
      </c>
      <c r="D42" t="s">
        <v>3303</v>
      </c>
      <c r="E42" t="s">
        <v>3304</v>
      </c>
      <c r="F42" t="s">
        <v>3223</v>
      </c>
      <c r="G42" t="s">
        <v>1630</v>
      </c>
    </row>
    <row r="43" spans="1:7" ht="11.25" customHeight="1">
      <c r="A43" t="s">
        <v>16</v>
      </c>
      <c r="B43" t="s">
        <v>3295</v>
      </c>
      <c r="C43" t="s">
        <v>3296</v>
      </c>
      <c r="D43" t="s">
        <v>3305</v>
      </c>
      <c r="E43" t="s">
        <v>3306</v>
      </c>
      <c r="F43" t="s">
        <v>3223</v>
      </c>
      <c r="G43" t="s">
        <v>1637</v>
      </c>
    </row>
    <row r="44" spans="1:7" ht="11.25" customHeight="1">
      <c r="A44" t="s">
        <v>16</v>
      </c>
      <c r="B44" t="s">
        <v>3307</v>
      </c>
      <c r="C44" t="s">
        <v>3308</v>
      </c>
      <c r="D44" t="s">
        <v>3309</v>
      </c>
      <c r="E44" t="s">
        <v>3310</v>
      </c>
      <c r="F44" t="s">
        <v>3223</v>
      </c>
      <c r="G44" t="s">
        <v>1646</v>
      </c>
    </row>
    <row r="45" spans="1:7" ht="11.25" customHeight="1">
      <c r="A45" t="s">
        <v>16</v>
      </c>
      <c r="B45" t="s">
        <v>3307</v>
      </c>
      <c r="C45" t="s">
        <v>3308</v>
      </c>
      <c r="D45" t="s">
        <v>3307</v>
      </c>
      <c r="E45" t="s">
        <v>3308</v>
      </c>
      <c r="F45" t="s">
        <v>3220</v>
      </c>
      <c r="G45" t="s">
        <v>1651</v>
      </c>
    </row>
    <row r="46" spans="1:7" ht="11.25" customHeight="1">
      <c r="A46" t="s">
        <v>16</v>
      </c>
      <c r="B46" t="s">
        <v>3307</v>
      </c>
      <c r="C46" t="s">
        <v>3308</v>
      </c>
      <c r="D46" t="s">
        <v>3311</v>
      </c>
      <c r="E46" t="s">
        <v>3312</v>
      </c>
      <c r="F46" t="s">
        <v>3223</v>
      </c>
      <c r="G46" t="s">
        <v>1654</v>
      </c>
    </row>
    <row r="47" spans="1:7" ht="11.25" customHeight="1">
      <c r="A47" t="s">
        <v>16</v>
      </c>
      <c r="B47" t="s">
        <v>3307</v>
      </c>
      <c r="C47" t="s">
        <v>3308</v>
      </c>
      <c r="D47" t="s">
        <v>3313</v>
      </c>
      <c r="E47" t="s">
        <v>3314</v>
      </c>
      <c r="F47" t="s">
        <v>3223</v>
      </c>
      <c r="G47" t="s">
        <v>1660</v>
      </c>
    </row>
    <row r="48" spans="1:7" ht="11.25" customHeight="1">
      <c r="A48" t="s">
        <v>16</v>
      </c>
      <c r="B48" t="s">
        <v>3307</v>
      </c>
      <c r="C48" t="s">
        <v>3308</v>
      </c>
      <c r="D48" t="s">
        <v>3315</v>
      </c>
      <c r="E48" t="s">
        <v>3316</v>
      </c>
      <c r="F48" t="s">
        <v>3223</v>
      </c>
      <c r="G48" t="s">
        <v>1665</v>
      </c>
    </row>
    <row r="49" spans="1:7" ht="11.25" customHeight="1">
      <c r="A49" t="s">
        <v>16</v>
      </c>
      <c r="B49" t="s">
        <v>3307</v>
      </c>
      <c r="C49" t="s">
        <v>3308</v>
      </c>
      <c r="D49" t="s">
        <v>3317</v>
      </c>
      <c r="E49" t="s">
        <v>3318</v>
      </c>
      <c r="F49" t="s">
        <v>3223</v>
      </c>
      <c r="G49" t="s">
        <v>1668</v>
      </c>
    </row>
    <row r="50" spans="1:7" ht="11.25" customHeight="1">
      <c r="A50" t="s">
        <v>16</v>
      </c>
      <c r="B50" t="s">
        <v>3307</v>
      </c>
      <c r="C50" t="s">
        <v>3308</v>
      </c>
      <c r="D50" t="s">
        <v>3319</v>
      </c>
      <c r="E50" t="s">
        <v>3320</v>
      </c>
      <c r="F50" t="s">
        <v>3223</v>
      </c>
      <c r="G50" t="s">
        <v>1672</v>
      </c>
    </row>
    <row r="51" spans="1:7" ht="11.25" customHeight="1">
      <c r="A51" t="s">
        <v>16</v>
      </c>
      <c r="B51" t="s">
        <v>3307</v>
      </c>
      <c r="C51" t="s">
        <v>3308</v>
      </c>
      <c r="D51" t="s">
        <v>3321</v>
      </c>
      <c r="E51" t="s">
        <v>3322</v>
      </c>
      <c r="F51" t="s">
        <v>3223</v>
      </c>
      <c r="G51" t="s">
        <v>1677</v>
      </c>
    </row>
    <row r="52" spans="1:7" ht="11.25" customHeight="1">
      <c r="A52" t="s">
        <v>16</v>
      </c>
      <c r="B52" t="s">
        <v>3307</v>
      </c>
      <c r="C52" t="s">
        <v>3308</v>
      </c>
      <c r="D52" t="s">
        <v>3323</v>
      </c>
      <c r="E52" t="s">
        <v>3324</v>
      </c>
      <c r="F52" t="s">
        <v>3223</v>
      </c>
      <c r="G52" t="s">
        <v>1681</v>
      </c>
    </row>
    <row r="53" spans="1:7" ht="11.25" customHeight="1">
      <c r="A53" t="s">
        <v>16</v>
      </c>
      <c r="B53" t="s">
        <v>3307</v>
      </c>
      <c r="C53" t="s">
        <v>3308</v>
      </c>
      <c r="D53" t="s">
        <v>3325</v>
      </c>
      <c r="E53" t="s">
        <v>3326</v>
      </c>
      <c r="F53" t="s">
        <v>3223</v>
      </c>
      <c r="G53" t="s">
        <v>1683</v>
      </c>
    </row>
    <row r="54" spans="1:7" ht="11.25" customHeight="1">
      <c r="A54" t="s">
        <v>16</v>
      </c>
      <c r="B54" t="s">
        <v>3307</v>
      </c>
      <c r="C54" t="s">
        <v>3308</v>
      </c>
      <c r="D54" t="s">
        <v>3327</v>
      </c>
      <c r="E54" t="s">
        <v>3328</v>
      </c>
      <c r="F54" t="s">
        <v>3223</v>
      </c>
      <c r="G54" t="s">
        <v>1686</v>
      </c>
    </row>
    <row r="55" spans="1:7" ht="11.25" customHeight="1">
      <c r="A55" t="s">
        <v>16</v>
      </c>
      <c r="B55" t="s">
        <v>3307</v>
      </c>
      <c r="C55" t="s">
        <v>3308</v>
      </c>
      <c r="D55" t="s">
        <v>3329</v>
      </c>
      <c r="E55" t="s">
        <v>3330</v>
      </c>
      <c r="F55" t="s">
        <v>3223</v>
      </c>
      <c r="G55" t="s">
        <v>1690</v>
      </c>
    </row>
    <row r="56" spans="1:7" ht="11.25" customHeight="1">
      <c r="A56" t="s">
        <v>16</v>
      </c>
      <c r="B56" t="s">
        <v>3307</v>
      </c>
      <c r="C56" t="s">
        <v>3308</v>
      </c>
      <c r="D56" t="s">
        <v>3331</v>
      </c>
      <c r="E56" t="s">
        <v>3332</v>
      </c>
      <c r="F56" t="s">
        <v>3223</v>
      </c>
      <c r="G56" t="s">
        <v>1693</v>
      </c>
    </row>
    <row r="57" spans="1:7" ht="11.25" customHeight="1">
      <c r="A57" t="s">
        <v>16</v>
      </c>
      <c r="B57" t="s">
        <v>3333</v>
      </c>
      <c r="C57" t="s">
        <v>3334</v>
      </c>
      <c r="D57" t="s">
        <v>3335</v>
      </c>
      <c r="E57" t="s">
        <v>3336</v>
      </c>
      <c r="F57" t="s">
        <v>3223</v>
      </c>
      <c r="G57" t="s">
        <v>1696</v>
      </c>
    </row>
    <row r="58" spans="1:7" ht="11.25" customHeight="1">
      <c r="A58" t="s">
        <v>16</v>
      </c>
      <c r="B58" t="s">
        <v>3333</v>
      </c>
      <c r="C58" t="s">
        <v>3334</v>
      </c>
      <c r="D58" t="s">
        <v>3333</v>
      </c>
      <c r="E58" t="s">
        <v>3334</v>
      </c>
      <c r="F58" t="s">
        <v>3220</v>
      </c>
      <c r="G58" t="s">
        <v>1699</v>
      </c>
    </row>
    <row r="59" spans="1:7" ht="11.25" customHeight="1">
      <c r="A59" t="s">
        <v>16</v>
      </c>
      <c r="B59" t="s">
        <v>3333</v>
      </c>
      <c r="C59" t="s">
        <v>3334</v>
      </c>
      <c r="D59" t="s">
        <v>3337</v>
      </c>
      <c r="E59" t="s">
        <v>3338</v>
      </c>
      <c r="F59" t="s">
        <v>3223</v>
      </c>
      <c r="G59" t="s">
        <v>1703</v>
      </c>
    </row>
    <row r="60" spans="1:7" ht="11.25" customHeight="1">
      <c r="A60" t="s">
        <v>16</v>
      </c>
      <c r="B60" t="s">
        <v>3333</v>
      </c>
      <c r="C60" t="s">
        <v>3334</v>
      </c>
      <c r="D60" t="s">
        <v>3339</v>
      </c>
      <c r="E60" t="s">
        <v>3340</v>
      </c>
      <c r="F60" t="s">
        <v>3223</v>
      </c>
      <c r="G60" t="s">
        <v>1706</v>
      </c>
    </row>
    <row r="61" spans="1:7" ht="11.25" customHeight="1">
      <c r="A61" t="s">
        <v>16</v>
      </c>
      <c r="B61" t="s">
        <v>3333</v>
      </c>
      <c r="C61" t="s">
        <v>3334</v>
      </c>
      <c r="D61" t="s">
        <v>3341</v>
      </c>
      <c r="E61" t="s">
        <v>3342</v>
      </c>
      <c r="F61" t="s">
        <v>3223</v>
      </c>
      <c r="G61" t="s">
        <v>3343</v>
      </c>
    </row>
    <row r="62" spans="1:7" ht="11.25" customHeight="1">
      <c r="A62" t="s">
        <v>16</v>
      </c>
      <c r="B62" t="s">
        <v>3333</v>
      </c>
      <c r="C62" t="s">
        <v>3334</v>
      </c>
      <c r="D62" t="s">
        <v>3344</v>
      </c>
      <c r="E62" t="s">
        <v>3345</v>
      </c>
      <c r="F62" t="s">
        <v>3223</v>
      </c>
      <c r="G62" t="s">
        <v>3346</v>
      </c>
    </row>
    <row r="63" spans="1:7" ht="11.25" customHeight="1">
      <c r="A63" t="s">
        <v>16</v>
      </c>
      <c r="B63" t="s">
        <v>3333</v>
      </c>
      <c r="C63" t="s">
        <v>3334</v>
      </c>
      <c r="D63" t="s">
        <v>3347</v>
      </c>
      <c r="E63" t="s">
        <v>3348</v>
      </c>
      <c r="F63" t="s">
        <v>3223</v>
      </c>
      <c r="G63" t="s">
        <v>3349</v>
      </c>
    </row>
    <row r="64" spans="1:7" ht="11.25" customHeight="1">
      <c r="A64" t="s">
        <v>16</v>
      </c>
      <c r="B64" t="s">
        <v>3333</v>
      </c>
      <c r="C64" t="s">
        <v>3334</v>
      </c>
      <c r="D64" t="s">
        <v>3350</v>
      </c>
      <c r="E64" t="s">
        <v>3351</v>
      </c>
      <c r="F64" t="s">
        <v>3223</v>
      </c>
      <c r="G64" t="s">
        <v>3352</v>
      </c>
    </row>
    <row r="65" spans="1:7" ht="11.25" customHeight="1">
      <c r="A65" t="s">
        <v>16</v>
      </c>
      <c r="B65" t="s">
        <v>3333</v>
      </c>
      <c r="C65" t="s">
        <v>3334</v>
      </c>
      <c r="D65" t="s">
        <v>3353</v>
      </c>
      <c r="E65" t="s">
        <v>3354</v>
      </c>
      <c r="F65" t="s">
        <v>3223</v>
      </c>
      <c r="G65" t="s">
        <v>3355</v>
      </c>
    </row>
    <row r="66" spans="1:7" ht="11.25" customHeight="1">
      <c r="A66" t="s">
        <v>16</v>
      </c>
      <c r="B66" t="s">
        <v>3356</v>
      </c>
      <c r="C66" t="s">
        <v>3357</v>
      </c>
      <c r="D66" t="s">
        <v>3358</v>
      </c>
      <c r="E66" t="s">
        <v>3359</v>
      </c>
      <c r="F66" t="s">
        <v>3223</v>
      </c>
      <c r="G66" t="s">
        <v>3360</v>
      </c>
    </row>
    <row r="67" spans="1:7" ht="11.25" customHeight="1">
      <c r="A67" t="s">
        <v>16</v>
      </c>
      <c r="B67" t="s">
        <v>3356</v>
      </c>
      <c r="C67" t="s">
        <v>3357</v>
      </c>
      <c r="D67" t="s">
        <v>3356</v>
      </c>
      <c r="E67" t="s">
        <v>3357</v>
      </c>
      <c r="F67" t="s">
        <v>3220</v>
      </c>
      <c r="G67" t="s">
        <v>2022</v>
      </c>
    </row>
    <row r="68" spans="1:7" ht="11.25" customHeight="1">
      <c r="A68" t="s">
        <v>16</v>
      </c>
      <c r="B68" t="s">
        <v>3356</v>
      </c>
      <c r="C68" t="s">
        <v>3357</v>
      </c>
      <c r="D68" t="s">
        <v>3361</v>
      </c>
      <c r="E68" t="s">
        <v>3362</v>
      </c>
      <c r="F68" t="s">
        <v>3238</v>
      </c>
      <c r="G68" t="s">
        <v>3363</v>
      </c>
    </row>
    <row r="69" spans="1:7" ht="11.25" customHeight="1">
      <c r="A69" t="s">
        <v>16</v>
      </c>
      <c r="B69" t="s">
        <v>3356</v>
      </c>
      <c r="C69" t="s">
        <v>3357</v>
      </c>
      <c r="D69" t="s">
        <v>3364</v>
      </c>
      <c r="E69" t="s">
        <v>3365</v>
      </c>
      <c r="F69" t="s">
        <v>3223</v>
      </c>
      <c r="G69" t="s">
        <v>2225</v>
      </c>
    </row>
    <row r="70" spans="1:7" ht="11.25" customHeight="1">
      <c r="A70" t="s">
        <v>16</v>
      </c>
      <c r="B70" t="s">
        <v>3356</v>
      </c>
      <c r="C70" t="s">
        <v>3357</v>
      </c>
      <c r="D70" t="s">
        <v>3366</v>
      </c>
      <c r="E70" t="s">
        <v>3367</v>
      </c>
      <c r="F70" t="s">
        <v>3223</v>
      </c>
      <c r="G70" t="s">
        <v>3368</v>
      </c>
    </row>
    <row r="71" spans="1:7" ht="11.25" customHeight="1">
      <c r="A71" t="s">
        <v>16</v>
      </c>
      <c r="B71" t="s">
        <v>3356</v>
      </c>
      <c r="C71" t="s">
        <v>3357</v>
      </c>
      <c r="D71" t="s">
        <v>3369</v>
      </c>
      <c r="E71" t="s">
        <v>3370</v>
      </c>
      <c r="F71" t="s">
        <v>3223</v>
      </c>
      <c r="G71" t="s">
        <v>3371</v>
      </c>
    </row>
    <row r="72" spans="1:7" ht="11.25" customHeight="1">
      <c r="A72" t="s">
        <v>16</v>
      </c>
      <c r="B72" t="s">
        <v>3356</v>
      </c>
      <c r="C72" t="s">
        <v>3357</v>
      </c>
      <c r="D72" t="s">
        <v>3372</v>
      </c>
      <c r="E72" t="s">
        <v>3373</v>
      </c>
      <c r="F72" t="s">
        <v>3223</v>
      </c>
      <c r="G72" t="s">
        <v>3374</v>
      </c>
    </row>
    <row r="73" spans="1:7" ht="11.25" customHeight="1">
      <c r="A73" t="s">
        <v>16</v>
      </c>
      <c r="B73" t="s">
        <v>3375</v>
      </c>
      <c r="C73" t="s">
        <v>3376</v>
      </c>
      <c r="D73" t="s">
        <v>3377</v>
      </c>
      <c r="E73" t="s">
        <v>3378</v>
      </c>
      <c r="F73" t="s">
        <v>3223</v>
      </c>
      <c r="G73" t="s">
        <v>3379</v>
      </c>
    </row>
    <row r="74" spans="1:7" ht="11.25" customHeight="1">
      <c r="A74" t="s">
        <v>16</v>
      </c>
      <c r="B74" t="s">
        <v>3375</v>
      </c>
      <c r="C74" t="s">
        <v>3376</v>
      </c>
      <c r="D74" t="s">
        <v>3380</v>
      </c>
      <c r="E74" t="s">
        <v>3381</v>
      </c>
      <c r="F74" t="s">
        <v>3223</v>
      </c>
      <c r="G74" t="s">
        <v>3382</v>
      </c>
    </row>
    <row r="75" spans="1:7" ht="11.25" customHeight="1">
      <c r="A75" t="s">
        <v>16</v>
      </c>
      <c r="B75" t="s">
        <v>3375</v>
      </c>
      <c r="C75" t="s">
        <v>3376</v>
      </c>
      <c r="D75" t="s">
        <v>3383</v>
      </c>
      <c r="E75" t="s">
        <v>3384</v>
      </c>
      <c r="F75" t="s">
        <v>3223</v>
      </c>
      <c r="G75" t="s">
        <v>3385</v>
      </c>
    </row>
    <row r="76" spans="1:7" ht="11.25" customHeight="1">
      <c r="A76" t="s">
        <v>16</v>
      </c>
      <c r="B76" t="s">
        <v>3375</v>
      </c>
      <c r="C76" t="s">
        <v>3376</v>
      </c>
      <c r="D76" t="s">
        <v>3375</v>
      </c>
      <c r="E76" t="s">
        <v>3376</v>
      </c>
      <c r="F76" t="s">
        <v>3220</v>
      </c>
      <c r="G76" t="s">
        <v>3386</v>
      </c>
    </row>
    <row r="77" spans="1:7" ht="11.25" customHeight="1">
      <c r="A77" t="s">
        <v>16</v>
      </c>
      <c r="B77" t="s">
        <v>3375</v>
      </c>
      <c r="C77" t="s">
        <v>3376</v>
      </c>
      <c r="D77" t="s">
        <v>3387</v>
      </c>
      <c r="E77" t="s">
        <v>3388</v>
      </c>
      <c r="F77" t="s">
        <v>3223</v>
      </c>
      <c r="G77" t="s">
        <v>3389</v>
      </c>
    </row>
    <row r="78" spans="1:7" ht="11.25" customHeight="1">
      <c r="A78" t="s">
        <v>16</v>
      </c>
      <c r="B78" t="s">
        <v>3375</v>
      </c>
      <c r="C78" t="s">
        <v>3376</v>
      </c>
      <c r="D78" t="s">
        <v>3390</v>
      </c>
      <c r="E78" t="s">
        <v>3391</v>
      </c>
      <c r="F78" t="s">
        <v>3223</v>
      </c>
      <c r="G78" t="s">
        <v>3392</v>
      </c>
    </row>
    <row r="79" spans="1:7" ht="11.25" customHeight="1">
      <c r="A79" t="s">
        <v>16</v>
      </c>
      <c r="B79" t="s">
        <v>3375</v>
      </c>
      <c r="C79" t="s">
        <v>3376</v>
      </c>
      <c r="D79" t="s">
        <v>3393</v>
      </c>
      <c r="E79" t="s">
        <v>3394</v>
      </c>
      <c r="F79" t="s">
        <v>3223</v>
      </c>
      <c r="G79" t="s">
        <v>3395</v>
      </c>
    </row>
    <row r="80" spans="1:7" ht="11.25" customHeight="1">
      <c r="A80" t="s">
        <v>16</v>
      </c>
      <c r="B80" t="s">
        <v>3375</v>
      </c>
      <c r="C80" t="s">
        <v>3376</v>
      </c>
      <c r="D80" t="s">
        <v>3396</v>
      </c>
      <c r="E80" t="s">
        <v>3397</v>
      </c>
      <c r="F80" t="s">
        <v>3223</v>
      </c>
      <c r="G80" t="s">
        <v>3398</v>
      </c>
    </row>
    <row r="81" spans="1:7" ht="11.25" customHeight="1">
      <c r="A81" t="s">
        <v>16</v>
      </c>
      <c r="B81" t="s">
        <v>3399</v>
      </c>
      <c r="C81" t="s">
        <v>3400</v>
      </c>
      <c r="D81" t="s">
        <v>3401</v>
      </c>
      <c r="E81" t="s">
        <v>3402</v>
      </c>
      <c r="F81" t="s">
        <v>3223</v>
      </c>
      <c r="G81" t="s">
        <v>3403</v>
      </c>
    </row>
    <row r="82" spans="1:7" ht="11.25" customHeight="1">
      <c r="A82" t="s">
        <v>16</v>
      </c>
      <c r="B82" t="s">
        <v>3399</v>
      </c>
      <c r="C82" t="s">
        <v>3400</v>
      </c>
      <c r="D82" t="s">
        <v>3399</v>
      </c>
      <c r="E82" t="s">
        <v>3400</v>
      </c>
      <c r="F82" t="s">
        <v>3220</v>
      </c>
      <c r="G82" t="s">
        <v>3404</v>
      </c>
    </row>
    <row r="83" spans="1:7" ht="11.25" customHeight="1">
      <c r="A83" t="s">
        <v>16</v>
      </c>
      <c r="B83" t="s">
        <v>3399</v>
      </c>
      <c r="C83" t="s">
        <v>3400</v>
      </c>
      <c r="D83" t="s">
        <v>3405</v>
      </c>
      <c r="E83" t="s">
        <v>3406</v>
      </c>
      <c r="F83" t="s">
        <v>3223</v>
      </c>
      <c r="G83" t="s">
        <v>3407</v>
      </c>
    </row>
    <row r="84" spans="1:7" ht="11.25" customHeight="1">
      <c r="A84" t="s">
        <v>16</v>
      </c>
      <c r="B84" t="s">
        <v>3399</v>
      </c>
      <c r="C84" t="s">
        <v>3400</v>
      </c>
      <c r="D84" t="s">
        <v>3408</v>
      </c>
      <c r="E84" t="s">
        <v>3409</v>
      </c>
      <c r="F84" t="s">
        <v>3223</v>
      </c>
      <c r="G84" t="s">
        <v>3410</v>
      </c>
    </row>
    <row r="85" spans="1:7" ht="11.25" customHeight="1">
      <c r="A85" t="s">
        <v>16</v>
      </c>
      <c r="B85" t="s">
        <v>3399</v>
      </c>
      <c r="C85" t="s">
        <v>3400</v>
      </c>
      <c r="D85" t="s">
        <v>3411</v>
      </c>
      <c r="E85" t="s">
        <v>3412</v>
      </c>
      <c r="F85" t="s">
        <v>3223</v>
      </c>
      <c r="G85" t="s">
        <v>3413</v>
      </c>
    </row>
    <row r="86" spans="1:7" ht="11.25" customHeight="1">
      <c r="A86" t="s">
        <v>16</v>
      </c>
      <c r="B86" t="s">
        <v>3399</v>
      </c>
      <c r="C86" t="s">
        <v>3400</v>
      </c>
      <c r="D86" t="s">
        <v>3414</v>
      </c>
      <c r="E86" t="s">
        <v>3415</v>
      </c>
      <c r="F86" t="s">
        <v>3223</v>
      </c>
      <c r="G86" t="s">
        <v>3416</v>
      </c>
    </row>
    <row r="87" spans="1:7" ht="11.25" customHeight="1">
      <c r="A87" t="s">
        <v>16</v>
      </c>
      <c r="B87" t="s">
        <v>3417</v>
      </c>
      <c r="C87" t="s">
        <v>3418</v>
      </c>
      <c r="D87" t="s">
        <v>3419</v>
      </c>
      <c r="E87" t="s">
        <v>3420</v>
      </c>
      <c r="F87" t="s">
        <v>3223</v>
      </c>
      <c r="G87" t="s">
        <v>3421</v>
      </c>
    </row>
    <row r="88" spans="1:7" ht="11.25" customHeight="1">
      <c r="A88" t="s">
        <v>16</v>
      </c>
      <c r="B88" t="s">
        <v>3417</v>
      </c>
      <c r="C88" t="s">
        <v>3418</v>
      </c>
      <c r="D88" t="s">
        <v>3422</v>
      </c>
      <c r="E88" t="s">
        <v>3423</v>
      </c>
      <c r="F88" t="s">
        <v>3223</v>
      </c>
      <c r="G88" t="s">
        <v>3424</v>
      </c>
    </row>
    <row r="89" spans="1:7" ht="11.25" customHeight="1">
      <c r="A89" t="s">
        <v>16</v>
      </c>
      <c r="B89" t="s">
        <v>3417</v>
      </c>
      <c r="C89" t="s">
        <v>3418</v>
      </c>
      <c r="D89" t="s">
        <v>3425</v>
      </c>
      <c r="E89" t="s">
        <v>3426</v>
      </c>
      <c r="F89" t="s">
        <v>3223</v>
      </c>
      <c r="G89" t="s">
        <v>3427</v>
      </c>
    </row>
    <row r="90" spans="1:7" ht="11.25" customHeight="1">
      <c r="A90" t="s">
        <v>16</v>
      </c>
      <c r="B90" t="s">
        <v>3417</v>
      </c>
      <c r="C90" t="s">
        <v>3418</v>
      </c>
      <c r="D90" t="s">
        <v>3417</v>
      </c>
      <c r="E90" t="s">
        <v>3418</v>
      </c>
      <c r="F90" t="s">
        <v>3220</v>
      </c>
      <c r="G90" t="s">
        <v>3428</v>
      </c>
    </row>
    <row r="91" spans="1:7" ht="11.25" customHeight="1">
      <c r="A91" t="s">
        <v>16</v>
      </c>
      <c r="B91" t="s">
        <v>3417</v>
      </c>
      <c r="C91" t="s">
        <v>3418</v>
      </c>
      <c r="D91" t="s">
        <v>3429</v>
      </c>
      <c r="E91" t="s">
        <v>3430</v>
      </c>
      <c r="F91" t="s">
        <v>3223</v>
      </c>
      <c r="G91" t="s">
        <v>3431</v>
      </c>
    </row>
    <row r="92" spans="1:7" ht="11.25" customHeight="1">
      <c r="A92" t="s">
        <v>16</v>
      </c>
      <c r="B92" t="s">
        <v>3417</v>
      </c>
      <c r="C92" t="s">
        <v>3418</v>
      </c>
      <c r="D92" t="s">
        <v>3432</v>
      </c>
      <c r="E92" t="s">
        <v>3433</v>
      </c>
      <c r="F92" t="s">
        <v>3223</v>
      </c>
      <c r="G92" t="s">
        <v>3434</v>
      </c>
    </row>
    <row r="93" spans="1:7" ht="11.25" customHeight="1">
      <c r="A93" t="s">
        <v>16</v>
      </c>
      <c r="B93" t="s">
        <v>3435</v>
      </c>
      <c r="C93" t="s">
        <v>3436</v>
      </c>
      <c r="D93" t="s">
        <v>3437</v>
      </c>
      <c r="E93" t="s">
        <v>3438</v>
      </c>
      <c r="F93" t="s">
        <v>3223</v>
      </c>
      <c r="G93" t="s">
        <v>3439</v>
      </c>
    </row>
    <row r="94" spans="1:7" ht="11.25" customHeight="1">
      <c r="A94" t="s">
        <v>16</v>
      </c>
      <c r="B94" t="s">
        <v>3435</v>
      </c>
      <c r="C94" t="s">
        <v>3436</v>
      </c>
      <c r="D94" t="s">
        <v>3440</v>
      </c>
      <c r="E94" t="s">
        <v>3441</v>
      </c>
      <c r="F94" t="s">
        <v>3223</v>
      </c>
      <c r="G94" t="s">
        <v>3442</v>
      </c>
    </row>
    <row r="95" spans="1:7" ht="11.25" customHeight="1">
      <c r="A95" t="s">
        <v>16</v>
      </c>
      <c r="B95" t="s">
        <v>3435</v>
      </c>
      <c r="C95" t="s">
        <v>3436</v>
      </c>
      <c r="D95" t="s">
        <v>3443</v>
      </c>
      <c r="E95" t="s">
        <v>3444</v>
      </c>
      <c r="F95" t="s">
        <v>3223</v>
      </c>
      <c r="G95" t="s">
        <v>3445</v>
      </c>
    </row>
    <row r="96" spans="1:7" ht="11.25" customHeight="1">
      <c r="A96" t="s">
        <v>16</v>
      </c>
      <c r="B96" t="s">
        <v>3435</v>
      </c>
      <c r="C96" t="s">
        <v>3436</v>
      </c>
      <c r="D96" t="s">
        <v>3435</v>
      </c>
      <c r="E96" t="s">
        <v>3436</v>
      </c>
      <c r="F96" t="s">
        <v>3220</v>
      </c>
      <c r="G96" t="s">
        <v>3446</v>
      </c>
    </row>
    <row r="97" spans="1:7" ht="11.25" customHeight="1">
      <c r="A97" t="s">
        <v>16</v>
      </c>
      <c r="B97" t="s">
        <v>3435</v>
      </c>
      <c r="C97" t="s">
        <v>3436</v>
      </c>
      <c r="D97" t="s">
        <v>3447</v>
      </c>
      <c r="E97" t="s">
        <v>3448</v>
      </c>
      <c r="F97" t="s">
        <v>3223</v>
      </c>
      <c r="G97" t="s">
        <v>3449</v>
      </c>
    </row>
    <row r="98" spans="1:7" ht="11.25" customHeight="1">
      <c r="A98" t="s">
        <v>16</v>
      </c>
      <c r="B98" t="s">
        <v>3435</v>
      </c>
      <c r="C98" t="s">
        <v>3436</v>
      </c>
      <c r="D98" t="s">
        <v>3450</v>
      </c>
      <c r="E98" t="s">
        <v>3451</v>
      </c>
      <c r="F98" t="s">
        <v>3223</v>
      </c>
      <c r="G98" t="s">
        <v>3452</v>
      </c>
    </row>
    <row r="99" spans="1:7" ht="11.25" customHeight="1">
      <c r="A99" t="s">
        <v>16</v>
      </c>
      <c r="B99" t="s">
        <v>3435</v>
      </c>
      <c r="C99" t="s">
        <v>3436</v>
      </c>
      <c r="D99" t="s">
        <v>3453</v>
      </c>
      <c r="E99" t="s">
        <v>3454</v>
      </c>
      <c r="F99" t="s">
        <v>3223</v>
      </c>
      <c r="G99" t="s">
        <v>3455</v>
      </c>
    </row>
    <row r="100" spans="1:7" ht="11.25" customHeight="1">
      <c r="A100" t="s">
        <v>16</v>
      </c>
      <c r="B100" t="s">
        <v>3456</v>
      </c>
      <c r="C100" t="s">
        <v>3457</v>
      </c>
      <c r="D100" t="s">
        <v>3458</v>
      </c>
      <c r="E100" t="s">
        <v>3459</v>
      </c>
      <c r="F100" t="s">
        <v>3223</v>
      </c>
      <c r="G100" t="s">
        <v>3460</v>
      </c>
    </row>
    <row r="101" spans="1:7" ht="11.25" customHeight="1">
      <c r="A101" t="s">
        <v>16</v>
      </c>
      <c r="B101" t="s">
        <v>3456</v>
      </c>
      <c r="C101" t="s">
        <v>3457</v>
      </c>
      <c r="D101" t="s">
        <v>3461</v>
      </c>
      <c r="E101" t="s">
        <v>3462</v>
      </c>
      <c r="F101" t="s">
        <v>3223</v>
      </c>
      <c r="G101" t="s">
        <v>3463</v>
      </c>
    </row>
    <row r="102" spans="1:7" ht="11.25" customHeight="1">
      <c r="A102" t="s">
        <v>16</v>
      </c>
      <c r="B102" t="s">
        <v>3456</v>
      </c>
      <c r="C102" t="s">
        <v>3457</v>
      </c>
      <c r="D102" t="s">
        <v>3456</v>
      </c>
      <c r="E102" t="s">
        <v>3457</v>
      </c>
      <c r="F102" t="s">
        <v>3220</v>
      </c>
      <c r="G102" t="s">
        <v>3464</v>
      </c>
    </row>
    <row r="103" spans="1:7" ht="11.25" customHeight="1">
      <c r="A103" t="s">
        <v>16</v>
      </c>
      <c r="B103" t="s">
        <v>3456</v>
      </c>
      <c r="C103" t="s">
        <v>3457</v>
      </c>
      <c r="D103" t="s">
        <v>3465</v>
      </c>
      <c r="E103" t="s">
        <v>3466</v>
      </c>
      <c r="F103" t="s">
        <v>3223</v>
      </c>
      <c r="G103" t="s">
        <v>3467</v>
      </c>
    </row>
    <row r="104" spans="1:7" ht="11.25" customHeight="1">
      <c r="A104" t="s">
        <v>16</v>
      </c>
      <c r="B104" t="s">
        <v>3456</v>
      </c>
      <c r="C104" t="s">
        <v>3457</v>
      </c>
      <c r="D104" t="s">
        <v>3468</v>
      </c>
      <c r="E104" t="s">
        <v>3469</v>
      </c>
      <c r="F104" t="s">
        <v>3223</v>
      </c>
      <c r="G104" t="s">
        <v>3470</v>
      </c>
    </row>
    <row r="105" spans="1:7" ht="11.25" customHeight="1">
      <c r="A105" t="s">
        <v>16</v>
      </c>
      <c r="B105" t="s">
        <v>100</v>
      </c>
      <c r="C105" t="s">
        <v>3471</v>
      </c>
      <c r="D105" t="s">
        <v>3472</v>
      </c>
      <c r="E105" t="s">
        <v>3473</v>
      </c>
      <c r="F105" t="s">
        <v>3223</v>
      </c>
      <c r="G105" t="s">
        <v>3474</v>
      </c>
    </row>
    <row r="106" spans="1:7" ht="11.25" customHeight="1">
      <c r="A106" t="s">
        <v>16</v>
      </c>
      <c r="B106" t="s">
        <v>100</v>
      </c>
      <c r="C106" t="s">
        <v>3471</v>
      </c>
      <c r="D106" t="s">
        <v>3475</v>
      </c>
      <c r="E106" t="s">
        <v>3476</v>
      </c>
      <c r="F106" t="s">
        <v>3223</v>
      </c>
      <c r="G106" t="s">
        <v>3477</v>
      </c>
    </row>
    <row r="107" spans="1:7" ht="11.25" customHeight="1">
      <c r="A107" t="s">
        <v>16</v>
      </c>
      <c r="B107" t="s">
        <v>100</v>
      </c>
      <c r="C107" t="s">
        <v>3471</v>
      </c>
      <c r="D107" t="s">
        <v>101</v>
      </c>
      <c r="E107" t="s">
        <v>102</v>
      </c>
      <c r="F107" t="s">
        <v>3223</v>
      </c>
      <c r="G107" t="s">
        <v>99</v>
      </c>
    </row>
    <row r="108" spans="1:7" ht="11.25" customHeight="1">
      <c r="A108" t="s">
        <v>16</v>
      </c>
      <c r="B108" t="s">
        <v>100</v>
      </c>
      <c r="C108" t="s">
        <v>3471</v>
      </c>
      <c r="D108" t="s">
        <v>3478</v>
      </c>
      <c r="E108" t="s">
        <v>3479</v>
      </c>
      <c r="F108" t="s">
        <v>3223</v>
      </c>
      <c r="G108" t="s">
        <v>3480</v>
      </c>
    </row>
    <row r="109" spans="1:7" ht="11.25" customHeight="1">
      <c r="A109" t="s">
        <v>16</v>
      </c>
      <c r="B109" t="s">
        <v>100</v>
      </c>
      <c r="C109" t="s">
        <v>3471</v>
      </c>
      <c r="D109" t="s">
        <v>3481</v>
      </c>
      <c r="E109" t="s">
        <v>3482</v>
      </c>
      <c r="F109" t="s">
        <v>3223</v>
      </c>
      <c r="G109" t="s">
        <v>3483</v>
      </c>
    </row>
    <row r="110" spans="1:7" ht="11.25" customHeight="1">
      <c r="A110" t="s">
        <v>16</v>
      </c>
      <c r="B110" t="s">
        <v>100</v>
      </c>
      <c r="C110" t="s">
        <v>3471</v>
      </c>
      <c r="D110" t="s">
        <v>3484</v>
      </c>
      <c r="E110" t="s">
        <v>3485</v>
      </c>
      <c r="F110" t="s">
        <v>3223</v>
      </c>
      <c r="G110" t="s">
        <v>3486</v>
      </c>
    </row>
    <row r="111" spans="1:7" ht="11.25" customHeight="1">
      <c r="A111" t="s">
        <v>16</v>
      </c>
      <c r="B111" t="s">
        <v>100</v>
      </c>
      <c r="C111" t="s">
        <v>3471</v>
      </c>
      <c r="D111" t="s">
        <v>3487</v>
      </c>
      <c r="E111" t="s">
        <v>3488</v>
      </c>
      <c r="F111" t="s">
        <v>3223</v>
      </c>
      <c r="G111" t="s">
        <v>3489</v>
      </c>
    </row>
    <row r="112" spans="1:7" ht="11.25" customHeight="1">
      <c r="A112" t="s">
        <v>16</v>
      </c>
      <c r="B112" t="s">
        <v>100</v>
      </c>
      <c r="C112" t="s">
        <v>3471</v>
      </c>
      <c r="D112" t="s">
        <v>3490</v>
      </c>
      <c r="E112" t="s">
        <v>3491</v>
      </c>
      <c r="F112" t="s">
        <v>3223</v>
      </c>
      <c r="G112" t="s">
        <v>3492</v>
      </c>
    </row>
    <row r="113" spans="1:7" ht="11.25" customHeight="1">
      <c r="A113" t="s">
        <v>16</v>
      </c>
      <c r="B113" t="s">
        <v>100</v>
      </c>
      <c r="C113" t="s">
        <v>3471</v>
      </c>
      <c r="D113" t="s">
        <v>3493</v>
      </c>
      <c r="E113" t="s">
        <v>3494</v>
      </c>
      <c r="F113" t="s">
        <v>3223</v>
      </c>
      <c r="G113" t="s">
        <v>3495</v>
      </c>
    </row>
    <row r="114" spans="1:7" ht="11.25" customHeight="1">
      <c r="A114" t="s">
        <v>16</v>
      </c>
      <c r="B114" t="s">
        <v>100</v>
      </c>
      <c r="C114" t="s">
        <v>3471</v>
      </c>
      <c r="D114" t="s">
        <v>3339</v>
      </c>
      <c r="E114" t="s">
        <v>3496</v>
      </c>
      <c r="F114" t="s">
        <v>3223</v>
      </c>
      <c r="G114" t="s">
        <v>3497</v>
      </c>
    </row>
    <row r="115" spans="1:7" ht="11.25" customHeight="1">
      <c r="A115" t="s">
        <v>16</v>
      </c>
      <c r="B115" t="s">
        <v>100</v>
      </c>
      <c r="C115" t="s">
        <v>3471</v>
      </c>
      <c r="D115" t="s">
        <v>3498</v>
      </c>
      <c r="E115" t="s">
        <v>3499</v>
      </c>
      <c r="F115" t="s">
        <v>3223</v>
      </c>
      <c r="G115" t="s">
        <v>3500</v>
      </c>
    </row>
    <row r="116" spans="1:7" ht="11.25" customHeight="1">
      <c r="A116" t="s">
        <v>16</v>
      </c>
      <c r="B116" t="s">
        <v>100</v>
      </c>
      <c r="C116" t="s">
        <v>3471</v>
      </c>
      <c r="D116" t="s">
        <v>3501</v>
      </c>
      <c r="E116" t="s">
        <v>3502</v>
      </c>
      <c r="F116" t="s">
        <v>3223</v>
      </c>
      <c r="G116" t="s">
        <v>3503</v>
      </c>
    </row>
    <row r="117" spans="1:7" ht="11.25" customHeight="1">
      <c r="A117" t="s">
        <v>16</v>
      </c>
      <c r="B117" t="s">
        <v>100</v>
      </c>
      <c r="C117" t="s">
        <v>3471</v>
      </c>
      <c r="D117" t="s">
        <v>3504</v>
      </c>
      <c r="E117" t="s">
        <v>3505</v>
      </c>
      <c r="F117" t="s">
        <v>3223</v>
      </c>
      <c r="G117" t="s">
        <v>3506</v>
      </c>
    </row>
    <row r="118" spans="1:7" ht="11.25" customHeight="1">
      <c r="A118" t="s">
        <v>16</v>
      </c>
      <c r="B118" t="s">
        <v>100</v>
      </c>
      <c r="C118" t="s">
        <v>3471</v>
      </c>
      <c r="D118" t="s">
        <v>3507</v>
      </c>
      <c r="E118" t="s">
        <v>3508</v>
      </c>
      <c r="F118" t="s">
        <v>3223</v>
      </c>
      <c r="G118" t="s">
        <v>3509</v>
      </c>
    </row>
    <row r="119" spans="1:7" ht="11.25" customHeight="1">
      <c r="A119" t="s">
        <v>16</v>
      </c>
      <c r="B119" t="s">
        <v>100</v>
      </c>
      <c r="C119" t="s">
        <v>3471</v>
      </c>
      <c r="D119" t="s">
        <v>3510</v>
      </c>
      <c r="E119" t="s">
        <v>3511</v>
      </c>
      <c r="F119" t="s">
        <v>3223</v>
      </c>
      <c r="G119" t="s">
        <v>3512</v>
      </c>
    </row>
    <row r="120" spans="1:7" ht="11.25" customHeight="1">
      <c r="A120" t="s">
        <v>16</v>
      </c>
      <c r="B120" t="s">
        <v>100</v>
      </c>
      <c r="C120" t="s">
        <v>3471</v>
      </c>
      <c r="D120" t="s">
        <v>3230</v>
      </c>
      <c r="E120" t="s">
        <v>3513</v>
      </c>
      <c r="F120" t="s">
        <v>3223</v>
      </c>
      <c r="G120" t="s">
        <v>3514</v>
      </c>
    </row>
    <row r="121" spans="1:7" ht="11.25" customHeight="1">
      <c r="A121" t="s">
        <v>16</v>
      </c>
      <c r="B121" t="s">
        <v>100</v>
      </c>
      <c r="C121" t="s">
        <v>3471</v>
      </c>
      <c r="D121" t="s">
        <v>3515</v>
      </c>
      <c r="E121" t="s">
        <v>3516</v>
      </c>
      <c r="F121" t="s">
        <v>3223</v>
      </c>
      <c r="G121" t="s">
        <v>3517</v>
      </c>
    </row>
    <row r="122" spans="1:7" ht="11.25" customHeight="1">
      <c r="A122" t="s">
        <v>16</v>
      </c>
      <c r="B122" t="s">
        <v>100</v>
      </c>
      <c r="C122" t="s">
        <v>3471</v>
      </c>
      <c r="D122" t="s">
        <v>3518</v>
      </c>
      <c r="E122" t="s">
        <v>3519</v>
      </c>
      <c r="F122" t="s">
        <v>3223</v>
      </c>
      <c r="G122" t="s">
        <v>3520</v>
      </c>
    </row>
    <row r="123" spans="1:7" ht="11.25" customHeight="1">
      <c r="A123" t="s">
        <v>16</v>
      </c>
      <c r="B123" t="s">
        <v>100</v>
      </c>
      <c r="C123" t="s">
        <v>3471</v>
      </c>
      <c r="D123" t="s">
        <v>100</v>
      </c>
      <c r="E123" t="s">
        <v>3471</v>
      </c>
      <c r="F123" t="s">
        <v>3220</v>
      </c>
      <c r="G123" t="s">
        <v>3521</v>
      </c>
    </row>
    <row r="124" spans="1:7" ht="11.25" customHeight="1">
      <c r="A124" t="s">
        <v>16</v>
      </c>
      <c r="B124" t="s">
        <v>100</v>
      </c>
      <c r="C124" t="s">
        <v>3471</v>
      </c>
      <c r="D124" t="s">
        <v>3522</v>
      </c>
      <c r="E124" t="s">
        <v>3523</v>
      </c>
      <c r="F124" t="s">
        <v>3223</v>
      </c>
      <c r="G124" t="s">
        <v>3524</v>
      </c>
    </row>
    <row r="125" spans="1:7" ht="11.25" customHeight="1">
      <c r="A125" t="s">
        <v>16</v>
      </c>
      <c r="B125" t="s">
        <v>3525</v>
      </c>
      <c r="C125" t="s">
        <v>3526</v>
      </c>
      <c r="D125" t="s">
        <v>3527</v>
      </c>
      <c r="E125" t="s">
        <v>3528</v>
      </c>
      <c r="F125" t="s">
        <v>3223</v>
      </c>
      <c r="G125" t="s">
        <v>3529</v>
      </c>
    </row>
    <row r="126" spans="1:7" ht="11.25" customHeight="1">
      <c r="A126" t="s">
        <v>16</v>
      </c>
      <c r="B126" t="s">
        <v>3525</v>
      </c>
      <c r="C126" t="s">
        <v>3526</v>
      </c>
      <c r="D126" t="s">
        <v>3530</v>
      </c>
      <c r="E126" t="s">
        <v>3531</v>
      </c>
      <c r="F126" t="s">
        <v>3223</v>
      </c>
      <c r="G126" t="s">
        <v>3532</v>
      </c>
    </row>
    <row r="127" spans="1:7" ht="11.25" customHeight="1">
      <c r="A127" t="s">
        <v>16</v>
      </c>
      <c r="B127" t="s">
        <v>3525</v>
      </c>
      <c r="C127" t="s">
        <v>3526</v>
      </c>
      <c r="D127" t="s">
        <v>3533</v>
      </c>
      <c r="E127" t="s">
        <v>3534</v>
      </c>
      <c r="F127" t="s">
        <v>3223</v>
      </c>
      <c r="G127" t="s">
        <v>3535</v>
      </c>
    </row>
    <row r="128" spans="1:7" ht="11.25" customHeight="1">
      <c r="A128" t="s">
        <v>16</v>
      </c>
      <c r="B128" t="s">
        <v>3525</v>
      </c>
      <c r="C128" t="s">
        <v>3526</v>
      </c>
      <c r="D128" t="s">
        <v>3525</v>
      </c>
      <c r="E128" t="s">
        <v>3526</v>
      </c>
      <c r="F128" t="s">
        <v>3220</v>
      </c>
      <c r="G128" t="s">
        <v>3536</v>
      </c>
    </row>
    <row r="129" spans="1:7" ht="11.25" customHeight="1">
      <c r="A129" t="s">
        <v>16</v>
      </c>
      <c r="B129" t="s">
        <v>3525</v>
      </c>
      <c r="C129" t="s">
        <v>3526</v>
      </c>
      <c r="D129" t="s">
        <v>3537</v>
      </c>
      <c r="E129" t="s">
        <v>3538</v>
      </c>
      <c r="F129" t="s">
        <v>3223</v>
      </c>
      <c r="G129" t="s">
        <v>3539</v>
      </c>
    </row>
    <row r="130" spans="1:7" ht="11.25" customHeight="1">
      <c r="A130" t="s">
        <v>16</v>
      </c>
      <c r="B130" t="s">
        <v>3540</v>
      </c>
      <c r="C130" t="s">
        <v>3541</v>
      </c>
      <c r="D130" t="s">
        <v>3542</v>
      </c>
      <c r="E130" t="s">
        <v>3543</v>
      </c>
      <c r="F130" t="s">
        <v>3223</v>
      </c>
      <c r="G130" t="s">
        <v>3544</v>
      </c>
    </row>
    <row r="131" spans="1:7" ht="11.25" customHeight="1">
      <c r="A131" t="s">
        <v>16</v>
      </c>
      <c r="B131" t="s">
        <v>3540</v>
      </c>
      <c r="C131" t="s">
        <v>3541</v>
      </c>
      <c r="D131" t="s">
        <v>3545</v>
      </c>
      <c r="E131" t="s">
        <v>3546</v>
      </c>
      <c r="F131" t="s">
        <v>3223</v>
      </c>
      <c r="G131" t="s">
        <v>3547</v>
      </c>
    </row>
    <row r="132" spans="1:7" ht="11.25" customHeight="1">
      <c r="A132" t="s">
        <v>16</v>
      </c>
      <c r="B132" t="s">
        <v>3540</v>
      </c>
      <c r="C132" t="s">
        <v>3541</v>
      </c>
      <c r="D132" t="s">
        <v>3548</v>
      </c>
      <c r="E132" t="s">
        <v>3549</v>
      </c>
      <c r="F132" t="s">
        <v>3223</v>
      </c>
      <c r="G132" t="s">
        <v>3550</v>
      </c>
    </row>
    <row r="133" spans="1:7" ht="11.25" customHeight="1">
      <c r="A133" t="s">
        <v>16</v>
      </c>
      <c r="B133" t="s">
        <v>3540</v>
      </c>
      <c r="C133" t="s">
        <v>3541</v>
      </c>
      <c r="D133" t="s">
        <v>3232</v>
      </c>
      <c r="E133" t="s">
        <v>3551</v>
      </c>
      <c r="F133" t="s">
        <v>3223</v>
      </c>
      <c r="G133" t="s">
        <v>3552</v>
      </c>
    </row>
    <row r="134" spans="1:7" ht="11.25" customHeight="1">
      <c r="A134" t="s">
        <v>16</v>
      </c>
      <c r="B134" t="s">
        <v>3540</v>
      </c>
      <c r="C134" t="s">
        <v>3541</v>
      </c>
      <c r="D134" t="s">
        <v>3553</v>
      </c>
      <c r="E134" t="s">
        <v>3554</v>
      </c>
      <c r="F134" t="s">
        <v>3223</v>
      </c>
      <c r="G134" t="s">
        <v>3555</v>
      </c>
    </row>
    <row r="135" spans="1:7" ht="11.25" customHeight="1">
      <c r="A135" t="s">
        <v>16</v>
      </c>
      <c r="B135" t="s">
        <v>3540</v>
      </c>
      <c r="C135" t="s">
        <v>3541</v>
      </c>
      <c r="D135" t="s">
        <v>3540</v>
      </c>
      <c r="E135" t="s">
        <v>3541</v>
      </c>
      <c r="F135" t="s">
        <v>3220</v>
      </c>
      <c r="G135" t="s">
        <v>3556</v>
      </c>
    </row>
    <row r="136" spans="1:7" ht="11.25" customHeight="1">
      <c r="A136" t="s">
        <v>16</v>
      </c>
      <c r="B136" t="s">
        <v>3540</v>
      </c>
      <c r="C136" t="s">
        <v>3541</v>
      </c>
      <c r="D136" t="s">
        <v>3557</v>
      </c>
      <c r="E136" t="s">
        <v>3558</v>
      </c>
      <c r="F136" t="s">
        <v>3223</v>
      </c>
      <c r="G136" t="s">
        <v>3559</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BFE5EE-B712-589B-EBD1-4F5A2AE511EF}">
  <sheetPr>
    <tabColor rgb="FFFFCC99"/>
  </sheetPr>
  <dimension ref="A1:C3"/>
  <sheetViews>
    <sheetView showGridLines="0" workbookViewId="0"/>
  </sheetViews>
  <sheetFormatPr defaultColWidth="9.140625" defaultRowHeight="11.25" customHeight="1"/>
  <cols>
    <col min="1" max="1" width="9.140625" style="22"/>
    <col min="2" max="2" width="84.28515625" style="22" customWidth="1"/>
    <col min="3" max="3" width="9.140625" style="22"/>
  </cols>
  <sheetData>
    <row r="1" spans="1:3" ht="11.25" customHeight="1">
      <c r="A1" s="22" t="s">
        <v>3596</v>
      </c>
      <c r="B1" s="22" t="s">
        <v>3597</v>
      </c>
      <c r="C1" s="22" t="s">
        <v>1168</v>
      </c>
    </row>
    <row r="2" spans="1:3" ht="11.25" customHeight="1">
      <c r="A2" s="22">
        <v>4189678</v>
      </c>
      <c r="B2" s="22" t="s">
        <v>3598</v>
      </c>
      <c r="C2" s="22" t="s">
        <v>3599</v>
      </c>
    </row>
    <row r="3" spans="1:3" ht="11.25" customHeight="1">
      <c r="A3" s="22">
        <v>4190415</v>
      </c>
      <c r="B3" s="22" t="s">
        <v>3600</v>
      </c>
      <c r="C3" s="22" t="s">
        <v>3599</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501DA2-63E5-72AA-49DC-8EEA7C932672}">
  <sheetPr>
    <tabColor rgb="FFFFCC99"/>
  </sheetPr>
  <dimension ref="A1:E8"/>
  <sheetViews>
    <sheetView showGridLines="0" workbookViewId="0"/>
  </sheetViews>
  <sheetFormatPr defaultColWidth="9.140625" defaultRowHeight="15" customHeight="1"/>
  <cols>
    <col min="1" max="1" width="38.42578125" style="50" customWidth="1"/>
    <col min="2" max="5" width="9.140625" style="50"/>
  </cols>
  <sheetData>
    <row r="1" spans="1:5" ht="15" customHeight="1">
      <c r="A1" s="22" t="s">
        <v>3601</v>
      </c>
      <c r="B1" s="22" t="s">
        <v>3602</v>
      </c>
      <c r="C1" s="22"/>
      <c r="D1" s="22"/>
      <c r="E1" s="22"/>
    </row>
    <row r="2" spans="1:5" ht="15" customHeight="1">
      <c r="A2" s="22"/>
      <c r="B2" s="22"/>
      <c r="C2" s="22"/>
      <c r="D2" s="22"/>
      <c r="E2" s="22"/>
    </row>
    <row r="3" spans="1:5" ht="15" customHeight="1">
      <c r="A3" s="22"/>
      <c r="B3" s="22"/>
      <c r="C3" s="22"/>
      <c r="D3" s="22"/>
      <c r="E3" s="22"/>
    </row>
    <row r="4" spans="1:5" ht="15" customHeight="1">
      <c r="A4" s="22"/>
      <c r="B4" s="22"/>
      <c r="C4" s="22"/>
      <c r="D4" s="22"/>
      <c r="E4" s="22"/>
    </row>
    <row r="5" spans="1:5" ht="15" customHeight="1">
      <c r="A5" s="22"/>
      <c r="B5" s="22"/>
      <c r="C5" s="22"/>
      <c r="D5" s="22"/>
      <c r="E5" s="22"/>
    </row>
    <row r="6" spans="1:5" ht="15" customHeight="1">
      <c r="A6" s="22"/>
      <c r="B6" s="22"/>
      <c r="C6" s="22"/>
      <c r="D6" s="22"/>
      <c r="E6" s="22"/>
    </row>
    <row r="7" spans="1:5" ht="15" customHeight="1">
      <c r="A7" s="22"/>
      <c r="B7" s="22"/>
      <c r="C7" s="22"/>
      <c r="D7" s="22"/>
      <c r="E7" s="22"/>
    </row>
    <row r="8" spans="1:5" ht="15" customHeight="1">
      <c r="A8" s="22"/>
      <c r="B8" s="22"/>
      <c r="C8" s="22"/>
      <c r="D8" s="22"/>
      <c r="E8" s="22"/>
    </row>
  </sheetData>
  <sheetProtection formatColumns="0" formatRows="0"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1B8718-7C39-D898-0D76-EBF65EF89E33}">
  <sheetPr>
    <tabColor rgb="FFFFCC99"/>
  </sheetPr>
  <dimension ref="A1:B15"/>
  <sheetViews>
    <sheetView workbookViewId="0"/>
  </sheetViews>
  <sheetFormatPr defaultRowHeight="11.25" customHeight="1"/>
  <sheetData>
    <row r="1" spans="1:2" ht="11.25" customHeight="1">
      <c r="A1" t="s">
        <v>3603</v>
      </c>
      <c r="B1" t="b">
        <v>1</v>
      </c>
    </row>
    <row r="2" spans="1:2" ht="11.25" customHeight="1">
      <c r="A2" t="s">
        <v>3604</v>
      </c>
      <c r="B2" t="b">
        <v>0</v>
      </c>
    </row>
    <row r="3" spans="1:2" ht="11.25" customHeight="1">
      <c r="A3" t="s">
        <v>3605</v>
      </c>
      <c r="B3" t="b">
        <v>1</v>
      </c>
    </row>
    <row r="4" spans="1:2" ht="11.25" customHeight="1">
      <c r="A4" t="s">
        <v>3606</v>
      </c>
      <c r="B4" t="b">
        <v>0</v>
      </c>
    </row>
    <row r="5" spans="1:2" ht="11.25" customHeight="1">
      <c r="A5" t="s">
        <v>3607</v>
      </c>
      <c r="B5" t="b">
        <v>0</v>
      </c>
    </row>
    <row r="6" spans="1:2" ht="11.25" customHeight="1">
      <c r="A6" t="s">
        <v>3608</v>
      </c>
      <c r="B6" t="b">
        <v>0</v>
      </c>
    </row>
    <row r="7" spans="1:2" ht="11.25" customHeight="1">
      <c r="A7" t="s">
        <v>3609</v>
      </c>
      <c r="B7" t="b">
        <v>0</v>
      </c>
    </row>
    <row r="8" spans="1:2" ht="11.25" customHeight="1">
      <c r="A8" t="s">
        <v>3610</v>
      </c>
      <c r="B8" t="b">
        <v>0</v>
      </c>
    </row>
    <row r="9" spans="1:2" ht="11.25" customHeight="1">
      <c r="A9" t="s">
        <v>3611</v>
      </c>
      <c r="B9" t="b">
        <v>0</v>
      </c>
    </row>
    <row r="10" spans="1:2" ht="11.25" customHeight="1">
      <c r="A10" t="s">
        <v>3612</v>
      </c>
      <c r="B10" t="b">
        <v>0</v>
      </c>
    </row>
    <row r="11" spans="1:2" ht="11.25" customHeight="1">
      <c r="A11" t="s">
        <v>3613</v>
      </c>
      <c r="B11" t="b">
        <v>1</v>
      </c>
    </row>
    <row r="12" spans="1:2" ht="11.25" customHeight="1">
      <c r="A12" t="s">
        <v>3614</v>
      </c>
      <c r="B12" t="b">
        <v>0</v>
      </c>
    </row>
    <row r="13" spans="1:2" ht="11.25" customHeight="1">
      <c r="A13" t="s">
        <v>3615</v>
      </c>
      <c r="B13" t="b">
        <v>0</v>
      </c>
    </row>
    <row r="14" spans="1:2" ht="11.25" customHeight="1">
      <c r="A14" t="s">
        <v>3616</v>
      </c>
      <c r="B14" t="b">
        <v>0</v>
      </c>
    </row>
    <row r="15" spans="1:2" ht="11.25" customHeight="1">
      <c r="A15" t="s">
        <v>3617</v>
      </c>
      <c r="B15" t="b">
        <v>1</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9DB153-5BED-B07A-1345-6C97DCE61B46}">
  <sheetPr>
    <tabColor rgb="FFFFCC99"/>
  </sheetPr>
  <dimension ref="A1"/>
  <sheetViews>
    <sheetView showGridLines="0" workbookViewId="0"/>
  </sheetViews>
  <sheetFormatPr defaultColWidth="9.140625" defaultRowHeight="12.75" customHeight="1"/>
  <cols>
    <col min="1" max="1" width="9.140625" style="42"/>
  </cols>
  <sheetData>
    <row r="1" spans="1:1" ht="12.75" customHeight="1">
      <c r="A1" s="3"/>
    </row>
  </sheetData>
  <sheetProtection insertRows="0" deleteColumns="0" deleteRows="0" sort="0" autoFilter="0"/>
  <pageMargins left="0.75" right="0.75" top="1" bottom="1" header="0.5" footer="0.5"/>
  <pageSetup orientation="portrait"/>
  <headerFooter>
    <oddHeader>&amp;L&amp;C&amp;R</oddHeader>
    <oddFooter>&amp;L&amp;C&amp;R</oddFooter>
    <evenHeader>&amp;L&amp;C&amp;R</evenHeader>
    <evenFooter>&amp;L&amp;C&amp;R</even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4C1FB9-72E4-FDC9-445F-0C28AAA0AC6B}">
  <sheetPr>
    <tabColor rgb="FFFFCC99"/>
  </sheetPr>
  <dimension ref="A1:B253"/>
  <sheetViews>
    <sheetView showGridLines="0" workbookViewId="0"/>
  </sheetViews>
  <sheetFormatPr defaultColWidth="9.140625" defaultRowHeight="11.25" customHeight="1"/>
  <cols>
    <col min="1" max="1" width="36.28515625" customWidth="1"/>
    <col min="2" max="2" width="21.140625" customWidth="1"/>
  </cols>
  <sheetData>
    <row r="1" spans="1:2" ht="11.25" customHeight="1">
      <c r="A1" s="5" t="s">
        <v>3618</v>
      </c>
      <c r="B1" s="5" t="s">
        <v>3619</v>
      </c>
    </row>
    <row r="2" spans="1:2" ht="11.25" customHeight="1">
      <c r="A2" s="2" t="s">
        <v>3620</v>
      </c>
      <c r="B2" s="2" t="s">
        <v>3621</v>
      </c>
    </row>
    <row r="3" spans="1:2" ht="11.25" customHeight="1">
      <c r="A3" s="2" t="s">
        <v>3622</v>
      </c>
      <c r="B3" s="2" t="s">
        <v>3623</v>
      </c>
    </row>
    <row r="4" spans="1:2" ht="11.25" customHeight="1">
      <c r="A4" s="2" t="s">
        <v>3624</v>
      </c>
      <c r="B4" s="2" t="s">
        <v>3625</v>
      </c>
    </row>
    <row r="5" spans="1:2" ht="11.25" customHeight="1">
      <c r="A5" s="2" t="s">
        <v>3626</v>
      </c>
      <c r="B5" s="2" t="s">
        <v>3627</v>
      </c>
    </row>
    <row r="6" spans="1:2" ht="11.25" customHeight="1">
      <c r="A6" s="2" t="s">
        <v>3628</v>
      </c>
      <c r="B6" s="2" t="s">
        <v>3629</v>
      </c>
    </row>
    <row r="7" spans="1:2" ht="11.25" customHeight="1">
      <c r="A7" s="2" t="s">
        <v>3630</v>
      </c>
      <c r="B7" s="2" t="s">
        <v>3631</v>
      </c>
    </row>
    <row r="8" spans="1:2" ht="11.25" customHeight="1">
      <c r="A8" s="2" t="s">
        <v>3632</v>
      </c>
      <c r="B8" s="2" t="s">
        <v>3633</v>
      </c>
    </row>
    <row r="9" spans="1:2" ht="11.25" customHeight="1">
      <c r="A9" s="2" t="s">
        <v>3634</v>
      </c>
      <c r="B9" s="2" t="s">
        <v>3635</v>
      </c>
    </row>
    <row r="10" spans="1:2" ht="11.25" customHeight="1">
      <c r="A10" s="2" t="s">
        <v>3636</v>
      </c>
      <c r="B10" s="2" t="s">
        <v>3637</v>
      </c>
    </row>
    <row r="11" spans="1:2" ht="11.25" customHeight="1">
      <c r="A11" s="2" t="s">
        <v>3638</v>
      </c>
      <c r="B11" s="2" t="s">
        <v>3639</v>
      </c>
    </row>
    <row r="12" spans="1:2" ht="11.25" customHeight="1">
      <c r="A12" s="2" t="s">
        <v>3640</v>
      </c>
      <c r="B12" s="2" t="s">
        <v>3641</v>
      </c>
    </row>
    <row r="13" spans="1:2" ht="11.25" customHeight="1">
      <c r="A13" s="2" t="s">
        <v>3642</v>
      </c>
      <c r="B13" s="2" t="s">
        <v>3643</v>
      </c>
    </row>
    <row r="14" spans="1:2" ht="11.25" customHeight="1">
      <c r="A14" s="2" t="s">
        <v>3644</v>
      </c>
      <c r="B14" s="2" t="s">
        <v>3645</v>
      </c>
    </row>
    <row r="15" spans="1:2" ht="11.25" customHeight="1">
      <c r="A15" s="2" t="s">
        <v>3646</v>
      </c>
      <c r="B15" s="2" t="s">
        <v>3647</v>
      </c>
    </row>
    <row r="16" spans="1:2" ht="11.25" customHeight="1">
      <c r="A16" s="2" t="s">
        <v>3648</v>
      </c>
      <c r="B16" s="2" t="s">
        <v>3649</v>
      </c>
    </row>
    <row r="17" spans="1:2" ht="11.25" customHeight="1">
      <c r="A17" s="2" t="s">
        <v>3650</v>
      </c>
      <c r="B17" s="2" t="s">
        <v>3651</v>
      </c>
    </row>
    <row r="18" spans="1:2" ht="11.25" customHeight="1">
      <c r="A18" s="2" t="s">
        <v>3652</v>
      </c>
      <c r="B18" s="2" t="s">
        <v>3653</v>
      </c>
    </row>
    <row r="19" spans="1:2" ht="11.25" customHeight="1">
      <c r="A19" s="2" t="s">
        <v>3654</v>
      </c>
      <c r="B19" s="2" t="s">
        <v>3655</v>
      </c>
    </row>
    <row r="20" spans="1:2" ht="11.25" customHeight="1">
      <c r="A20" s="2" t="s">
        <v>3656</v>
      </c>
      <c r="B20" s="2" t="s">
        <v>3657</v>
      </c>
    </row>
    <row r="21" spans="1:2" ht="11.25" customHeight="1">
      <c r="A21" s="2" t="s">
        <v>3658</v>
      </c>
      <c r="B21" s="2" t="s">
        <v>3659</v>
      </c>
    </row>
    <row r="22" spans="1:2" ht="11.25" customHeight="1">
      <c r="A22" s="2" t="s">
        <v>3660</v>
      </c>
      <c r="B22" s="2" t="s">
        <v>3661</v>
      </c>
    </row>
    <row r="23" spans="1:2" ht="11.25" customHeight="1">
      <c r="A23" s="2" t="s">
        <v>3662</v>
      </c>
      <c r="B23" s="2" t="s">
        <v>3663</v>
      </c>
    </row>
    <row r="24" spans="1:2" ht="11.25" customHeight="1">
      <c r="A24" s="2" t="s">
        <v>3664</v>
      </c>
      <c r="B24" s="2" t="s">
        <v>3665</v>
      </c>
    </row>
    <row r="25" spans="1:2" ht="11.25" customHeight="1">
      <c r="A25" s="2" t="s">
        <v>3666</v>
      </c>
      <c r="B25" s="2" t="s">
        <v>3667</v>
      </c>
    </row>
    <row r="26" spans="1:2" ht="11.25" customHeight="1">
      <c r="A26" s="2" t="s">
        <v>3668</v>
      </c>
      <c r="B26" s="2" t="s">
        <v>3669</v>
      </c>
    </row>
    <row r="27" spans="1:2" ht="11.25" customHeight="1">
      <c r="A27" s="2" t="s">
        <v>3670</v>
      </c>
      <c r="B27" s="2" t="s">
        <v>3671</v>
      </c>
    </row>
    <row r="28" spans="1:2" ht="11.25" customHeight="1">
      <c r="A28" s="2" t="s">
        <v>3672</v>
      </c>
      <c r="B28" s="2" t="s">
        <v>3673</v>
      </c>
    </row>
    <row r="29" spans="1:2" ht="11.25" customHeight="1">
      <c r="A29" s="2" t="s">
        <v>3674</v>
      </c>
      <c r="B29" s="2" t="s">
        <v>3675</v>
      </c>
    </row>
    <row r="30" spans="1:2" ht="11.25" customHeight="1">
      <c r="A30" s="2" t="s">
        <v>3676</v>
      </c>
      <c r="B30" s="2" t="s">
        <v>3677</v>
      </c>
    </row>
    <row r="31" spans="1:2" ht="11.25" customHeight="1">
      <c r="A31" s="2" t="s">
        <v>3678</v>
      </c>
      <c r="B31" s="2" t="s">
        <v>3679</v>
      </c>
    </row>
    <row r="32" spans="1:2" ht="11.25" customHeight="1">
      <c r="A32" s="2" t="s">
        <v>3680</v>
      </c>
      <c r="B32" s="2" t="s">
        <v>3681</v>
      </c>
    </row>
    <row r="33" spans="1:2" ht="11.25" customHeight="1">
      <c r="A33" s="2" t="s">
        <v>3682</v>
      </c>
      <c r="B33" s="2" t="s">
        <v>3683</v>
      </c>
    </row>
    <row r="34" spans="1:2" ht="11.25" customHeight="1">
      <c r="A34" s="2" t="s">
        <v>3684</v>
      </c>
      <c r="B34" s="2" t="s">
        <v>3685</v>
      </c>
    </row>
    <row r="35" spans="1:2" ht="11.25" customHeight="1">
      <c r="A35" s="2" t="s">
        <v>3686</v>
      </c>
      <c r="B35" s="2" t="s">
        <v>3687</v>
      </c>
    </row>
    <row r="36" spans="1:2" ht="11.25" customHeight="1">
      <c r="A36" s="2" t="s">
        <v>3688</v>
      </c>
      <c r="B36" s="2" t="s">
        <v>3689</v>
      </c>
    </row>
    <row r="37" spans="1:2" ht="11.25" customHeight="1">
      <c r="A37" s="2" t="s">
        <v>3690</v>
      </c>
      <c r="B37" s="2" t="s">
        <v>3691</v>
      </c>
    </row>
    <row r="38" spans="1:2" ht="11.25" customHeight="1">
      <c r="A38" s="2" t="s">
        <v>3692</v>
      </c>
      <c r="B38" s="2" t="s">
        <v>3693</v>
      </c>
    </row>
    <row r="39" spans="1:2" ht="11.25" customHeight="1">
      <c r="A39" s="2" t="s">
        <v>3694</v>
      </c>
      <c r="B39" s="2" t="s">
        <v>3695</v>
      </c>
    </row>
    <row r="40" spans="1:2" ht="11.25" customHeight="1">
      <c r="A40" s="2" t="s">
        <v>3696</v>
      </c>
      <c r="B40" s="2" t="s">
        <v>3697</v>
      </c>
    </row>
    <row r="41" spans="1:2" ht="11.25" customHeight="1">
      <c r="A41" s="2" t="s">
        <v>3698</v>
      </c>
      <c r="B41" s="2" t="s">
        <v>3699</v>
      </c>
    </row>
    <row r="42" spans="1:2" ht="11.25" customHeight="1">
      <c r="A42" s="2" t="s">
        <v>3700</v>
      </c>
      <c r="B42" s="2" t="s">
        <v>3701</v>
      </c>
    </row>
    <row r="43" spans="1:2" ht="11.25" customHeight="1">
      <c r="A43" s="2" t="s">
        <v>3702</v>
      </c>
      <c r="B43" s="2" t="s">
        <v>3703</v>
      </c>
    </row>
    <row r="44" spans="1:2" ht="11.25" customHeight="1">
      <c r="A44" s="2" t="s">
        <v>3704</v>
      </c>
      <c r="B44" s="2" t="s">
        <v>3705</v>
      </c>
    </row>
    <row r="45" spans="1:2" ht="11.25" customHeight="1">
      <c r="A45" s="2" t="s">
        <v>3706</v>
      </c>
      <c r="B45" s="2" t="s">
        <v>3707</v>
      </c>
    </row>
    <row r="46" spans="1:2" ht="11.25" customHeight="1">
      <c r="A46" s="2" t="s">
        <v>3708</v>
      </c>
      <c r="B46" s="2" t="s">
        <v>3709</v>
      </c>
    </row>
    <row r="47" spans="1:2" ht="11.25" customHeight="1">
      <c r="A47" s="2" t="s">
        <v>3710</v>
      </c>
      <c r="B47" s="2" t="s">
        <v>3711</v>
      </c>
    </row>
    <row r="48" spans="1:2" ht="11.25" customHeight="1">
      <c r="A48" s="2" t="s">
        <v>3712</v>
      </c>
      <c r="B48" s="2" t="s">
        <v>3713</v>
      </c>
    </row>
    <row r="49" spans="1:2" ht="11.25" customHeight="1">
      <c r="A49" s="2" t="s">
        <v>3714</v>
      </c>
      <c r="B49" s="2" t="s">
        <v>3715</v>
      </c>
    </row>
    <row r="50" spans="1:2" ht="11.25" customHeight="1">
      <c r="A50" s="2" t="s">
        <v>3716</v>
      </c>
      <c r="B50" s="2" t="s">
        <v>3717</v>
      </c>
    </row>
    <row r="51" spans="1:2" ht="11.25" customHeight="1">
      <c r="A51" s="2" t="s">
        <v>3718</v>
      </c>
      <c r="B51" s="2" t="s">
        <v>3719</v>
      </c>
    </row>
    <row r="52" spans="1:2" ht="11.25" customHeight="1">
      <c r="A52" s="2" t="s">
        <v>3720</v>
      </c>
      <c r="B52" s="2" t="s">
        <v>3721</v>
      </c>
    </row>
    <row r="53" spans="1:2" ht="11.25" customHeight="1">
      <c r="A53" s="2" t="s">
        <v>3722</v>
      </c>
      <c r="B53" s="2" t="s">
        <v>3723</v>
      </c>
    </row>
    <row r="54" spans="1:2" ht="11.25" customHeight="1">
      <c r="A54" s="2" t="s">
        <v>3724</v>
      </c>
      <c r="B54" s="2" t="s">
        <v>3725</v>
      </c>
    </row>
    <row r="55" spans="1:2" ht="11.25" customHeight="1">
      <c r="A55" s="2" t="s">
        <v>3726</v>
      </c>
      <c r="B55" s="2" t="s">
        <v>3727</v>
      </c>
    </row>
    <row r="56" spans="1:2" ht="11.25" customHeight="1">
      <c r="A56" s="2" t="s">
        <v>3728</v>
      </c>
      <c r="B56" s="2" t="s">
        <v>3729</v>
      </c>
    </row>
    <row r="57" spans="1:2" ht="11.25" customHeight="1">
      <c r="A57" s="2" t="s">
        <v>3730</v>
      </c>
      <c r="B57" s="2" t="s">
        <v>3731</v>
      </c>
    </row>
    <row r="58" spans="1:2" ht="11.25" customHeight="1">
      <c r="A58" s="2" t="s">
        <v>3732</v>
      </c>
      <c r="B58" s="2" t="s">
        <v>3733</v>
      </c>
    </row>
    <row r="59" spans="1:2" ht="11.25" customHeight="1">
      <c r="A59" s="2" t="s">
        <v>3734</v>
      </c>
      <c r="B59" s="2" t="s">
        <v>3735</v>
      </c>
    </row>
    <row r="60" spans="1:2" ht="11.25" customHeight="1">
      <c r="A60" s="2" t="s">
        <v>3736</v>
      </c>
      <c r="B60" s="2" t="s">
        <v>3737</v>
      </c>
    </row>
    <row r="61" spans="1:2" ht="11.25" customHeight="1">
      <c r="A61" s="2"/>
      <c r="B61" s="2" t="s">
        <v>3738</v>
      </c>
    </row>
    <row r="62" spans="1:2" ht="11.25" customHeight="1">
      <c r="A62" s="2"/>
      <c r="B62" s="2" t="s">
        <v>3739</v>
      </c>
    </row>
    <row r="63" spans="1:2" ht="11.25" customHeight="1">
      <c r="A63" s="2"/>
      <c r="B63" s="2" t="s">
        <v>3740</v>
      </c>
    </row>
    <row r="64" spans="1:2" ht="11.25" customHeight="1">
      <c r="A64" s="2"/>
      <c r="B64" s="2" t="s">
        <v>3741</v>
      </c>
    </row>
    <row r="65" spans="1:2" ht="11.25" customHeight="1">
      <c r="A65" s="2"/>
      <c r="B65" s="2" t="s">
        <v>3742</v>
      </c>
    </row>
    <row r="66" spans="1:2" ht="11.25" customHeight="1">
      <c r="A66" s="2"/>
      <c r="B66" s="2" t="s">
        <v>3743</v>
      </c>
    </row>
    <row r="67" spans="1:2" ht="11.25" customHeight="1">
      <c r="A67" s="2"/>
      <c r="B67" s="2" t="s">
        <v>3744</v>
      </c>
    </row>
    <row r="68" spans="1:2" ht="11.25" customHeight="1">
      <c r="A68" s="2"/>
      <c r="B68" s="2" t="s">
        <v>3745</v>
      </c>
    </row>
    <row r="69" spans="1:2" ht="11.25" customHeight="1">
      <c r="A69" s="2"/>
      <c r="B69" s="2" t="s">
        <v>3746</v>
      </c>
    </row>
    <row r="70" spans="1:2" ht="11.25" customHeight="1">
      <c r="A70" s="2"/>
      <c r="B70" s="2" t="s">
        <v>3747</v>
      </c>
    </row>
    <row r="71" spans="1:2" ht="11.25" customHeight="1">
      <c r="A71" s="2"/>
      <c r="B71" s="2"/>
    </row>
    <row r="72" spans="1:2" ht="11.25" customHeight="1">
      <c r="A72" s="2"/>
      <c r="B72" s="2"/>
    </row>
    <row r="73" spans="1:2" ht="11.25" customHeight="1">
      <c r="A73" s="2"/>
      <c r="B73" s="2"/>
    </row>
    <row r="74" spans="1:2" ht="11.25" customHeight="1">
      <c r="A74" s="2"/>
      <c r="B74" s="2"/>
    </row>
    <row r="75" spans="1:2" ht="11.25" customHeight="1">
      <c r="A75" s="2"/>
      <c r="B75" s="2"/>
    </row>
    <row r="76" spans="1:2" ht="11.25" customHeight="1">
      <c r="A76" s="2"/>
      <c r="B76" s="2"/>
    </row>
    <row r="77" spans="1:2" ht="11.25" customHeight="1">
      <c r="A77" s="2"/>
      <c r="B77" s="2"/>
    </row>
    <row r="78" spans="1:2" ht="11.25" customHeight="1">
      <c r="A78" s="2"/>
      <c r="B78" s="2"/>
    </row>
    <row r="79" spans="1:2" ht="11.25" customHeight="1">
      <c r="A79" s="2"/>
      <c r="B79" s="2"/>
    </row>
    <row r="80" spans="1:2" ht="11.25" customHeight="1">
      <c r="A80" s="2"/>
      <c r="B80" s="2"/>
    </row>
    <row r="81" spans="1:2" ht="11.25" customHeight="1">
      <c r="A81" s="2"/>
      <c r="B81" s="2"/>
    </row>
    <row r="82" spans="1:2" ht="11.25" customHeight="1">
      <c r="A82" s="2"/>
      <c r="B82" s="2"/>
    </row>
    <row r="83" spans="1:2" ht="11.25" customHeight="1">
      <c r="A83" s="2"/>
      <c r="B83" s="2"/>
    </row>
    <row r="84" spans="1:2" ht="11.25" customHeight="1">
      <c r="A84" s="2"/>
      <c r="B84" s="2"/>
    </row>
    <row r="85" spans="1:2" ht="11.25" customHeight="1">
      <c r="A85" s="2"/>
      <c r="B85" s="2"/>
    </row>
    <row r="86" spans="1:2" ht="11.25" customHeight="1">
      <c r="A86" s="2"/>
      <c r="B86" s="2"/>
    </row>
    <row r="87" spans="1:2" ht="11.25" customHeight="1">
      <c r="A87" s="2"/>
      <c r="B87" s="2"/>
    </row>
    <row r="88" spans="1:2" ht="11.25" customHeight="1">
      <c r="A88" s="2"/>
      <c r="B88" s="2"/>
    </row>
    <row r="89" spans="1:2" ht="11.25" customHeight="1">
      <c r="A89" s="2"/>
      <c r="B89" s="2"/>
    </row>
    <row r="90" spans="1:2" ht="11.25" customHeight="1">
      <c r="A90" s="2"/>
      <c r="B90" s="2"/>
    </row>
    <row r="91" spans="1:2" ht="11.25" customHeight="1">
      <c r="A91" s="2"/>
      <c r="B91" s="2"/>
    </row>
    <row r="92" spans="1:2" ht="11.25" customHeight="1">
      <c r="A92" s="2"/>
      <c r="B92" s="2"/>
    </row>
    <row r="93" spans="1:2" ht="11.25" customHeight="1">
      <c r="A93" s="2"/>
      <c r="B93" s="2"/>
    </row>
    <row r="94" spans="1:2" ht="11.25" customHeight="1">
      <c r="A94" s="2"/>
      <c r="B94" s="2"/>
    </row>
    <row r="95" spans="1:2" ht="11.25" customHeight="1">
      <c r="A95" s="2"/>
      <c r="B95" s="2"/>
    </row>
    <row r="96" spans="1:2" ht="11.25" customHeight="1">
      <c r="A96" s="2"/>
      <c r="B96" s="2"/>
    </row>
    <row r="97" spans="1:2" ht="11.25" customHeight="1">
      <c r="A97" s="2"/>
      <c r="B97" s="2"/>
    </row>
    <row r="98" spans="1:2" ht="11.25" customHeight="1">
      <c r="A98" s="2"/>
      <c r="B98" s="2"/>
    </row>
    <row r="99" spans="1:2" ht="11.25" customHeight="1">
      <c r="A99" s="2"/>
      <c r="B99" s="2"/>
    </row>
    <row r="100" spans="1:2" ht="11.25" customHeight="1">
      <c r="A100" s="2"/>
      <c r="B100" s="2"/>
    </row>
    <row r="101" spans="1:2" ht="11.25" customHeight="1">
      <c r="A101" s="2"/>
      <c r="B101" s="2"/>
    </row>
    <row r="102" spans="1:2" ht="11.25" customHeight="1">
      <c r="A102" s="2"/>
      <c r="B102" s="2"/>
    </row>
    <row r="103" spans="1:2" ht="11.25" customHeight="1">
      <c r="A103" s="2"/>
      <c r="B103" s="2"/>
    </row>
    <row r="104" spans="1:2" ht="11.25" customHeight="1">
      <c r="A104" s="2"/>
      <c r="B104" s="2"/>
    </row>
    <row r="105" spans="1:2" ht="11.25" customHeight="1">
      <c r="A105" s="2"/>
      <c r="B105" s="2"/>
    </row>
    <row r="106" spans="1:2" ht="11.25" customHeight="1">
      <c r="A106" s="2"/>
      <c r="B106" s="2"/>
    </row>
    <row r="107" spans="1:2" ht="11.25" customHeight="1">
      <c r="A107" s="2"/>
      <c r="B107" s="2"/>
    </row>
    <row r="108" spans="1:2" ht="11.25" customHeight="1">
      <c r="A108" s="2"/>
      <c r="B108" s="2"/>
    </row>
    <row r="109" spans="1:2" ht="11.25" customHeight="1">
      <c r="A109" s="2"/>
      <c r="B109" s="2"/>
    </row>
    <row r="110" spans="1:2" ht="11.25" customHeight="1">
      <c r="A110" s="2"/>
      <c r="B110" s="2"/>
    </row>
    <row r="111" spans="1:2" ht="11.25" customHeight="1">
      <c r="A111" s="2"/>
      <c r="B111" s="2"/>
    </row>
    <row r="112" spans="1:2" ht="11.25" customHeight="1">
      <c r="A112" s="2"/>
      <c r="B112" s="2"/>
    </row>
    <row r="113" spans="1:2" ht="11.25" customHeight="1">
      <c r="A113" s="2"/>
      <c r="B113" s="2"/>
    </row>
    <row r="114" spans="1:2" ht="11.25" customHeight="1">
      <c r="A114" s="2"/>
      <c r="B114" s="2"/>
    </row>
    <row r="115" spans="1:2" ht="11.25" customHeight="1">
      <c r="A115" s="2"/>
      <c r="B115" s="2"/>
    </row>
    <row r="116" spans="1:2" ht="11.25" customHeight="1">
      <c r="A116" s="2"/>
      <c r="B116" s="2"/>
    </row>
    <row r="117" spans="1:2" ht="11.25" customHeight="1">
      <c r="A117" s="2"/>
      <c r="B117" s="2"/>
    </row>
    <row r="118" spans="1:2" ht="11.25" customHeight="1">
      <c r="A118" s="2"/>
      <c r="B118" s="2"/>
    </row>
    <row r="119" spans="1:2" ht="11.25" customHeight="1">
      <c r="A119" s="2"/>
      <c r="B119" s="2"/>
    </row>
    <row r="120" spans="1:2" ht="11.25" customHeight="1">
      <c r="A120" s="2"/>
      <c r="B120" s="2"/>
    </row>
    <row r="121" spans="1:2" ht="11.25" customHeight="1">
      <c r="A121" s="2"/>
      <c r="B121" s="2"/>
    </row>
    <row r="122" spans="1:2" ht="11.25" customHeight="1">
      <c r="A122" s="2"/>
      <c r="B122" s="2"/>
    </row>
    <row r="123" spans="1:2" ht="11.25" customHeight="1">
      <c r="A123" s="2"/>
      <c r="B123" s="2"/>
    </row>
    <row r="124" spans="1:2" ht="11.25" customHeight="1">
      <c r="A124" s="2"/>
      <c r="B124" s="2"/>
    </row>
    <row r="125" spans="1:2" ht="11.25" customHeight="1">
      <c r="A125" s="2"/>
      <c r="B125" s="2"/>
    </row>
    <row r="126" spans="1:2" ht="11.25" customHeight="1">
      <c r="A126" s="2"/>
      <c r="B126" s="2"/>
    </row>
    <row r="127" spans="1:2" ht="11.25" customHeight="1">
      <c r="A127" s="2"/>
      <c r="B127" s="2"/>
    </row>
    <row r="128" spans="1:2" ht="11.25" customHeight="1">
      <c r="A128" s="2"/>
      <c r="B128" s="2"/>
    </row>
    <row r="129" spans="1:2" ht="11.25" customHeight="1">
      <c r="A129" s="2"/>
      <c r="B129" s="2"/>
    </row>
    <row r="130" spans="1:2" ht="11.25" customHeight="1">
      <c r="A130" s="2"/>
      <c r="B130" s="2"/>
    </row>
    <row r="131" spans="1:2" ht="11.25" customHeight="1">
      <c r="A131" s="2"/>
      <c r="B131" s="2"/>
    </row>
    <row r="132" spans="1:2" ht="11.25" customHeight="1">
      <c r="A132" s="2"/>
      <c r="B132" s="2"/>
    </row>
    <row r="133" spans="1:2" ht="11.25" customHeight="1">
      <c r="A133" s="2"/>
      <c r="B133" s="2"/>
    </row>
    <row r="134" spans="1:2" ht="11.25" customHeight="1">
      <c r="A134" s="2"/>
      <c r="B134" s="2"/>
    </row>
    <row r="135" spans="1:2" ht="11.25" customHeight="1">
      <c r="A135" s="2"/>
      <c r="B135" s="2"/>
    </row>
    <row r="136" spans="1:2" ht="11.25" customHeight="1">
      <c r="A136" s="2"/>
      <c r="B136" s="2"/>
    </row>
    <row r="137" spans="1:2" ht="11.25" customHeight="1">
      <c r="A137" s="2"/>
      <c r="B137" s="2"/>
    </row>
    <row r="138" spans="1:2" ht="11.25" customHeight="1">
      <c r="A138" s="2"/>
      <c r="B138" s="2"/>
    </row>
    <row r="139" spans="1:2" ht="11.25" customHeight="1">
      <c r="A139" s="2"/>
      <c r="B139" s="2"/>
    </row>
    <row r="140" spans="1:2" ht="11.25" customHeight="1">
      <c r="A140" s="2"/>
      <c r="B140" s="2"/>
    </row>
    <row r="141" spans="1:2" ht="11.25" customHeight="1">
      <c r="A141" s="2"/>
      <c r="B141" s="2"/>
    </row>
    <row r="142" spans="1:2" ht="11.25" customHeight="1">
      <c r="A142" s="2"/>
      <c r="B142" s="2"/>
    </row>
    <row r="143" spans="1:2" ht="11.25" customHeight="1">
      <c r="A143" s="2"/>
      <c r="B143" s="2"/>
    </row>
    <row r="144" spans="1:2" ht="11.25" customHeight="1">
      <c r="A144" s="2"/>
      <c r="B144" s="2"/>
    </row>
    <row r="145" spans="1:2" ht="11.25" customHeight="1">
      <c r="A145" s="2"/>
      <c r="B145" s="2"/>
    </row>
    <row r="146" spans="1:2" ht="11.25" customHeight="1">
      <c r="A146" s="2"/>
      <c r="B146" s="2"/>
    </row>
    <row r="147" spans="1:2" ht="11.25" customHeight="1">
      <c r="A147" s="2"/>
      <c r="B147" s="2"/>
    </row>
    <row r="148" spans="1:2" ht="11.25" customHeight="1">
      <c r="A148" s="2"/>
      <c r="B148" s="2"/>
    </row>
    <row r="149" spans="1:2" ht="11.25" customHeight="1">
      <c r="A149" s="2"/>
      <c r="B149" s="2"/>
    </row>
    <row r="150" spans="1:2" ht="11.25" customHeight="1">
      <c r="A150" s="2"/>
      <c r="B150" s="2"/>
    </row>
    <row r="151" spans="1:2" ht="11.25" customHeight="1">
      <c r="A151" s="2"/>
      <c r="B151" s="2"/>
    </row>
    <row r="152" spans="1:2" ht="11.25" customHeight="1">
      <c r="A152" s="2"/>
      <c r="B152" s="2"/>
    </row>
    <row r="153" spans="1:2" ht="11.25" customHeight="1">
      <c r="A153" s="2"/>
      <c r="B153" s="2"/>
    </row>
    <row r="154" spans="1:2" ht="11.25" customHeight="1">
      <c r="A154" s="2"/>
      <c r="B154" s="2"/>
    </row>
    <row r="155" spans="1:2" ht="11.25" customHeight="1">
      <c r="A155" s="2"/>
      <c r="B155" s="2"/>
    </row>
    <row r="156" spans="1:2" ht="11.25" customHeight="1">
      <c r="A156" s="2"/>
      <c r="B156" s="2"/>
    </row>
    <row r="157" spans="1:2" ht="11.25" customHeight="1">
      <c r="A157" s="2"/>
      <c r="B157" s="2"/>
    </row>
    <row r="158" spans="1:2" ht="11.25" customHeight="1">
      <c r="A158" s="2"/>
      <c r="B158" s="2"/>
    </row>
    <row r="159" spans="1:2" ht="11.25" customHeight="1">
      <c r="A159" s="2"/>
      <c r="B159" s="2"/>
    </row>
    <row r="160" spans="1:2" ht="11.25" customHeight="1">
      <c r="A160" s="2"/>
      <c r="B160" s="2"/>
    </row>
    <row r="161" spans="1:2" ht="11.25" customHeight="1">
      <c r="A161" s="2"/>
      <c r="B161" s="2"/>
    </row>
    <row r="162" spans="1:2" ht="11.25" customHeight="1">
      <c r="A162" s="2"/>
      <c r="B162" s="2"/>
    </row>
    <row r="163" spans="1:2" ht="11.25" customHeight="1">
      <c r="A163" s="2"/>
      <c r="B163" s="2"/>
    </row>
    <row r="164" spans="1:2" ht="11.25" customHeight="1">
      <c r="A164" s="2"/>
      <c r="B164" s="2"/>
    </row>
    <row r="165" spans="1:2" ht="11.25" customHeight="1">
      <c r="A165" s="2"/>
      <c r="B165" s="2"/>
    </row>
    <row r="166" spans="1:2" ht="11.25" customHeight="1">
      <c r="A166" s="2"/>
      <c r="B166" s="2"/>
    </row>
    <row r="167" spans="1:2" ht="11.25" customHeight="1">
      <c r="A167" s="2"/>
      <c r="B167" s="2"/>
    </row>
    <row r="168" spans="1:2" ht="11.25" customHeight="1">
      <c r="A168" s="2"/>
      <c r="B168" s="2"/>
    </row>
    <row r="169" spans="1:2" ht="11.25" customHeight="1">
      <c r="A169" s="2"/>
      <c r="B169" s="2"/>
    </row>
    <row r="170" spans="1:2" ht="11.25" customHeight="1">
      <c r="A170" s="2"/>
      <c r="B170" s="2"/>
    </row>
    <row r="171" spans="1:2" ht="11.25" customHeight="1">
      <c r="A171" s="2"/>
      <c r="B171" s="2"/>
    </row>
    <row r="172" spans="1:2" ht="11.25" customHeight="1">
      <c r="A172" s="2"/>
      <c r="B172" s="2"/>
    </row>
    <row r="173" spans="1:2" ht="11.25" customHeight="1">
      <c r="A173" s="2"/>
      <c r="B173" s="2"/>
    </row>
    <row r="174" spans="1:2" ht="11.25" customHeight="1">
      <c r="A174" s="2"/>
      <c r="B174" s="2"/>
    </row>
    <row r="175" spans="1:2" ht="11.25" customHeight="1">
      <c r="A175" s="2"/>
      <c r="B175" s="2"/>
    </row>
    <row r="176" spans="1:2" ht="11.25" customHeight="1">
      <c r="A176" s="2"/>
      <c r="B176" s="2"/>
    </row>
    <row r="177" spans="1:2" ht="11.25" customHeight="1">
      <c r="A177" s="2"/>
      <c r="B177" s="2"/>
    </row>
    <row r="178" spans="1:2" ht="11.25" customHeight="1">
      <c r="A178" s="2"/>
      <c r="B178" s="2"/>
    </row>
    <row r="179" spans="1:2" ht="11.25" customHeight="1">
      <c r="A179" s="2"/>
      <c r="B179" s="2"/>
    </row>
    <row r="180" spans="1:2" ht="11.25" customHeight="1">
      <c r="A180" s="2"/>
      <c r="B180" s="2"/>
    </row>
    <row r="181" spans="1:2" ht="11.25" customHeight="1">
      <c r="A181" s="2"/>
      <c r="B181" s="2"/>
    </row>
    <row r="182" spans="1:2" ht="11.25" customHeight="1">
      <c r="A182" s="2"/>
      <c r="B182" s="2"/>
    </row>
    <row r="183" spans="1:2" ht="11.25" customHeight="1">
      <c r="A183" s="2"/>
      <c r="B183" s="2"/>
    </row>
    <row r="184" spans="1:2" ht="11.25" customHeight="1">
      <c r="A184" s="2"/>
      <c r="B184" s="2"/>
    </row>
    <row r="185" spans="1:2" ht="11.25" customHeight="1">
      <c r="A185" s="2"/>
      <c r="B185" s="2"/>
    </row>
    <row r="186" spans="1:2" ht="11.25" customHeight="1">
      <c r="A186" s="2"/>
      <c r="B186" s="2"/>
    </row>
    <row r="187" spans="1:2" ht="11.25" customHeight="1">
      <c r="A187" s="2"/>
      <c r="B187" s="2"/>
    </row>
    <row r="188" spans="1:2" ht="11.25" customHeight="1">
      <c r="A188" s="2"/>
      <c r="B188" s="2"/>
    </row>
    <row r="189" spans="1:2" ht="11.25" customHeight="1">
      <c r="A189" s="2"/>
      <c r="B189" s="2"/>
    </row>
    <row r="190" spans="1:2" ht="11.25" customHeight="1">
      <c r="A190" s="2"/>
      <c r="B190" s="2"/>
    </row>
    <row r="191" spans="1:2" ht="11.25" customHeight="1">
      <c r="A191" s="2"/>
      <c r="B191" s="2"/>
    </row>
    <row r="192" spans="1:2" ht="11.25" customHeight="1">
      <c r="A192" s="2"/>
      <c r="B192" s="2"/>
    </row>
    <row r="193" spans="1:2" ht="11.25" customHeight="1">
      <c r="A193" s="2"/>
      <c r="B193" s="2"/>
    </row>
    <row r="194" spans="1:2" ht="11.25" customHeight="1">
      <c r="A194" s="2"/>
      <c r="B194" s="2"/>
    </row>
    <row r="195" spans="1:2" ht="11.25" customHeight="1">
      <c r="A195" s="2"/>
      <c r="B195" s="2"/>
    </row>
    <row r="196" spans="1:2" ht="11.25" customHeight="1">
      <c r="A196" s="2"/>
      <c r="B196" s="2"/>
    </row>
    <row r="197" spans="1:2" ht="11.25" customHeight="1">
      <c r="A197" s="2"/>
      <c r="B197" s="2"/>
    </row>
    <row r="198" spans="1:2" ht="11.25" customHeight="1">
      <c r="A198" s="2"/>
      <c r="B198" s="2"/>
    </row>
    <row r="199" spans="1:2" ht="11.25" customHeight="1">
      <c r="A199" s="2"/>
      <c r="B199" s="2"/>
    </row>
    <row r="200" spans="1:2" ht="11.25" customHeight="1">
      <c r="A200" s="2"/>
      <c r="B200" s="2"/>
    </row>
    <row r="201" spans="1:2" ht="11.25" customHeight="1">
      <c r="A201" s="2"/>
      <c r="B201" s="2"/>
    </row>
    <row r="202" spans="1:2" ht="11.25" customHeight="1">
      <c r="A202" s="2"/>
      <c r="B202" s="2"/>
    </row>
    <row r="203" spans="1:2" ht="11.25" customHeight="1">
      <c r="A203" s="2"/>
      <c r="B203" s="2"/>
    </row>
    <row r="204" spans="1:2" ht="11.25" customHeight="1">
      <c r="A204" s="2"/>
      <c r="B204" s="2"/>
    </row>
    <row r="205" spans="1:2" ht="11.25" customHeight="1">
      <c r="A205" s="2"/>
      <c r="B205" s="2"/>
    </row>
    <row r="206" spans="1:2" ht="11.25" customHeight="1">
      <c r="A206" s="2"/>
      <c r="B206" s="2"/>
    </row>
    <row r="207" spans="1:2" ht="11.25" customHeight="1">
      <c r="A207" s="2"/>
      <c r="B207" s="2"/>
    </row>
    <row r="208" spans="1:2" ht="11.25" customHeight="1">
      <c r="A208" s="2"/>
      <c r="B208" s="2"/>
    </row>
    <row r="209" spans="1:2" ht="11.25" customHeight="1">
      <c r="A209" s="2"/>
      <c r="B209" s="2"/>
    </row>
    <row r="210" spans="1:2" ht="11.25" customHeight="1">
      <c r="A210" s="2"/>
      <c r="B210" s="2"/>
    </row>
    <row r="211" spans="1:2" ht="11.25" customHeight="1">
      <c r="A211" s="2"/>
      <c r="B211" s="2"/>
    </row>
    <row r="212" spans="1:2" ht="11.25" customHeight="1">
      <c r="A212" s="2"/>
      <c r="B212" s="2"/>
    </row>
    <row r="213" spans="1:2" ht="11.25" customHeight="1">
      <c r="A213" s="2"/>
      <c r="B213" s="2"/>
    </row>
    <row r="214" spans="1:2" ht="11.25" customHeight="1">
      <c r="A214" s="2"/>
      <c r="B214" s="2"/>
    </row>
    <row r="215" spans="1:2" ht="11.25" customHeight="1">
      <c r="A215" s="2"/>
      <c r="B215" s="2"/>
    </row>
    <row r="216" spans="1:2" ht="11.25" customHeight="1">
      <c r="A216" s="2"/>
      <c r="B216" s="2"/>
    </row>
    <row r="217" spans="1:2" ht="11.25" customHeight="1">
      <c r="A217" s="2"/>
      <c r="B217" s="2"/>
    </row>
    <row r="218" spans="1:2" ht="11.25" customHeight="1">
      <c r="A218" s="2"/>
      <c r="B218" s="2"/>
    </row>
    <row r="219" spans="1:2" ht="11.25" customHeight="1">
      <c r="A219" s="2"/>
      <c r="B219" s="2"/>
    </row>
    <row r="220" spans="1:2" ht="11.25" customHeight="1">
      <c r="A220" s="2"/>
      <c r="B220" s="2"/>
    </row>
    <row r="221" spans="1:2" ht="11.25" customHeight="1">
      <c r="A221" s="2"/>
      <c r="B221" s="2"/>
    </row>
    <row r="222" spans="1:2" ht="11.25" customHeight="1">
      <c r="A222" s="2"/>
      <c r="B222" s="2"/>
    </row>
    <row r="223" spans="1:2" ht="11.25" customHeight="1">
      <c r="A223" s="2"/>
      <c r="B223" s="2"/>
    </row>
    <row r="224" spans="1:2" ht="11.25" customHeight="1">
      <c r="A224" s="2"/>
      <c r="B224" s="2"/>
    </row>
    <row r="225" spans="1:2" ht="11.25" customHeight="1">
      <c r="A225" s="2"/>
      <c r="B225" s="2"/>
    </row>
    <row r="226" spans="1:2" ht="11.25" customHeight="1">
      <c r="A226" s="2"/>
      <c r="B226" s="2"/>
    </row>
    <row r="227" spans="1:2" ht="11.25" customHeight="1">
      <c r="A227" s="2"/>
      <c r="B227" s="2"/>
    </row>
    <row r="228" spans="1:2" ht="11.25" customHeight="1">
      <c r="A228" s="2"/>
      <c r="B228" s="2"/>
    </row>
    <row r="229" spans="1:2" ht="11.25" customHeight="1">
      <c r="A229" s="2"/>
      <c r="B229" s="2"/>
    </row>
    <row r="230" spans="1:2" ht="11.25" customHeight="1">
      <c r="A230" s="2"/>
      <c r="B230" s="2"/>
    </row>
    <row r="231" spans="1:2" ht="11.25" customHeight="1">
      <c r="A231" s="2"/>
      <c r="B231" s="2"/>
    </row>
    <row r="232" spans="1:2" ht="11.25" customHeight="1">
      <c r="A232" s="2"/>
      <c r="B232" s="2"/>
    </row>
    <row r="233" spans="1:2" ht="11.25" customHeight="1">
      <c r="A233" s="2"/>
      <c r="B233" s="2"/>
    </row>
    <row r="234" spans="1:2" ht="11.25" customHeight="1">
      <c r="A234" s="2"/>
      <c r="B234" s="2"/>
    </row>
    <row r="235" spans="1:2" ht="11.25" customHeight="1">
      <c r="A235" s="2"/>
      <c r="B235" s="2"/>
    </row>
    <row r="236" spans="1:2" ht="11.25" customHeight="1">
      <c r="A236" s="2"/>
      <c r="B236" s="2"/>
    </row>
    <row r="237" spans="1:2" ht="11.25" customHeight="1">
      <c r="A237" s="2"/>
      <c r="B237" s="2"/>
    </row>
    <row r="238" spans="1:2" ht="11.25" customHeight="1">
      <c r="A238" s="2"/>
      <c r="B238" s="2"/>
    </row>
    <row r="239" spans="1:2" ht="11.25" customHeight="1">
      <c r="A239" s="2"/>
      <c r="B239" s="2"/>
    </row>
    <row r="240" spans="1:2" ht="11.25" customHeight="1">
      <c r="A240" s="2"/>
      <c r="B240" s="2"/>
    </row>
    <row r="241" spans="1:2" ht="11.25" customHeight="1">
      <c r="A241" s="2"/>
      <c r="B241" s="2"/>
    </row>
    <row r="242" spans="1:2" ht="11.25" customHeight="1">
      <c r="A242" s="2"/>
      <c r="B242" s="2"/>
    </row>
    <row r="243" spans="1:2" ht="11.25" customHeight="1">
      <c r="A243" s="2"/>
      <c r="B243" s="2"/>
    </row>
    <row r="244" spans="1:2" ht="11.25" customHeight="1">
      <c r="A244" s="2"/>
      <c r="B244" s="2"/>
    </row>
    <row r="245" spans="1:2" ht="11.25" customHeight="1">
      <c r="A245" s="2"/>
      <c r="B245" s="2"/>
    </row>
    <row r="246" spans="1:2" ht="11.25" customHeight="1">
      <c r="A246" s="2"/>
      <c r="B246" s="2"/>
    </row>
    <row r="247" spans="1:2" ht="11.25" customHeight="1">
      <c r="A247" s="2"/>
      <c r="B247" s="2"/>
    </row>
    <row r="248" spans="1:2" ht="11.25" customHeight="1">
      <c r="A248" s="2"/>
      <c r="B248" s="2"/>
    </row>
    <row r="249" spans="1:2" ht="11.25" customHeight="1">
      <c r="A249" s="2"/>
      <c r="B249" s="2"/>
    </row>
    <row r="250" spans="1:2" ht="11.25" customHeight="1">
      <c r="A250" s="2"/>
      <c r="B250" s="2"/>
    </row>
    <row r="251" spans="1:2" ht="11.25" customHeight="1">
      <c r="A251" s="2"/>
      <c r="B251" s="2"/>
    </row>
    <row r="252" spans="1:2" ht="11.25" customHeight="1">
      <c r="A252" s="2"/>
      <c r="B252" s="2"/>
    </row>
    <row r="253" spans="1:2" ht="11.25" customHeight="1">
      <c r="A253" s="2"/>
      <c r="B253" s="2"/>
    </row>
  </sheetData>
  <sheetProtection formatColumns="0" formatRows="0"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1F7469-8417-B2EB-7E05-6EABA00288AE}">
  <sheetPr>
    <tabColor rgb="FFFFCC99"/>
  </sheetPr>
  <dimension ref="A1:D36"/>
  <sheetViews>
    <sheetView showGridLines="0" workbookViewId="0"/>
  </sheetViews>
  <sheetFormatPr defaultColWidth="9.140625" defaultRowHeight="11.25" customHeight="1"/>
  <cols>
    <col min="1" max="1" width="3.7109375" customWidth="1"/>
    <col min="2" max="2" width="90.7109375" customWidth="1"/>
  </cols>
  <sheetData>
    <row r="1" spans="2:4" ht="11.25" customHeight="1">
      <c r="B1" s="17" t="s">
        <v>3748</v>
      </c>
    </row>
    <row r="2" spans="2:4" ht="90" customHeight="1">
      <c r="B2" s="18" t="s">
        <v>3749</v>
      </c>
    </row>
    <row r="3" spans="2:4" ht="67.5" customHeight="1">
      <c r="B3" s="18" t="s">
        <v>3750</v>
      </c>
    </row>
    <row r="4" spans="2:4" ht="33.75" customHeight="1">
      <c r="B4" s="18" t="s">
        <v>3751</v>
      </c>
    </row>
    <row r="5" spans="2:4" ht="11.25" customHeight="1">
      <c r="B5" s="18" t="s">
        <v>3752</v>
      </c>
    </row>
    <row r="6" spans="2:4" ht="22.5" customHeight="1">
      <c r="B6" s="18" t="s">
        <v>3753</v>
      </c>
    </row>
    <row r="7" spans="2:4" ht="22.5" customHeight="1">
      <c r="B7" s="18" t="s">
        <v>3754</v>
      </c>
    </row>
    <row r="8" spans="2:4" ht="22.5" customHeight="1">
      <c r="B8" s="18" t="s">
        <v>3755</v>
      </c>
    </row>
    <row r="9" spans="2:4" ht="22.5" customHeight="1">
      <c r="B9" s="18" t="s">
        <v>3756</v>
      </c>
    </row>
    <row r="10" spans="2:4" ht="56.25" customHeight="1">
      <c r="B10" s="18" t="s">
        <v>3757</v>
      </c>
    </row>
    <row r="11" spans="2:4" ht="12.75" customHeight="1">
      <c r="B11" s="48" t="s">
        <v>3758</v>
      </c>
    </row>
    <row r="12" spans="2:4" ht="11.25" customHeight="1">
      <c r="B12" s="17" t="s">
        <v>3759</v>
      </c>
    </row>
    <row r="13" spans="2:4" ht="22.5" customHeight="1">
      <c r="B13" s="18" t="s">
        <v>3760</v>
      </c>
    </row>
    <row r="14" spans="2:4" ht="67.5" customHeight="1">
      <c r="B14" s="18" t="s">
        <v>3761</v>
      </c>
    </row>
    <row r="15" spans="2:4" ht="22.5" customHeight="1">
      <c r="B15" s="18" t="s">
        <v>3762</v>
      </c>
    </row>
    <row r="16" spans="2:4" ht="11.25" customHeight="1">
      <c r="B16" s="17" t="s">
        <v>3763</v>
      </c>
      <c r="D16" s="22"/>
    </row>
    <row r="17" spans="2:2" ht="33.75" customHeight="1">
      <c r="B17" s="18" t="s">
        <v>3764</v>
      </c>
    </row>
    <row r="18" spans="2:2" ht="33.75" customHeight="1">
      <c r="B18" s="18" t="s">
        <v>3765</v>
      </c>
    </row>
    <row r="19" spans="2:2" ht="11.25" customHeight="1">
      <c r="B19" s="18" t="s">
        <v>3766</v>
      </c>
    </row>
    <row r="20" spans="2:2" ht="33.75" customHeight="1">
      <c r="B20" s="18" t="s">
        <v>3767</v>
      </c>
    </row>
    <row r="21" spans="2:2" ht="11.25" customHeight="1">
      <c r="B21" s="17" t="s">
        <v>3768</v>
      </c>
    </row>
    <row r="22" spans="2:2" ht="11.25" customHeight="1">
      <c r="B22" s="18" t="s">
        <v>3769</v>
      </c>
    </row>
    <row r="24" spans="2:2" ht="22.5" customHeight="1">
      <c r="B24" s="27" t="s">
        <v>3770</v>
      </c>
    </row>
    <row r="26" spans="2:2" ht="11.25" customHeight="1">
      <c r="B26" s="17" t="s">
        <v>3771</v>
      </c>
    </row>
    <row r="27" spans="2:2" ht="22.5" customHeight="1">
      <c r="B27" s="49" t="s">
        <v>399</v>
      </c>
    </row>
    <row r="28" spans="2:2" ht="56.25" customHeight="1">
      <c r="B28" s="49" t="s">
        <v>3772</v>
      </c>
    </row>
    <row r="29" spans="2:2" ht="11.25" customHeight="1">
      <c r="B29" s="70" t="s">
        <v>3773</v>
      </c>
    </row>
    <row r="30" spans="2:2" ht="22.5" customHeight="1">
      <c r="B30" s="49" t="s">
        <v>3774</v>
      </c>
    </row>
    <row r="32" spans="2:2" ht="11.25" customHeight="1">
      <c r="B32" s="65" t="s">
        <v>3775</v>
      </c>
    </row>
    <row r="33" spans="1:2" ht="14.25" customHeight="1">
      <c r="A33" s="40">
        <v>1</v>
      </c>
      <c r="B33" s="66" t="s">
        <v>3776</v>
      </c>
    </row>
    <row r="34" spans="1:2" ht="14.25" customHeight="1">
      <c r="A34" s="40">
        <v>2</v>
      </c>
      <c r="B34" s="66" t="s">
        <v>3777</v>
      </c>
    </row>
    <row r="35" spans="1:2" ht="11.25" customHeight="1">
      <c r="B35" s="65" t="s">
        <v>3778</v>
      </c>
    </row>
    <row r="36" spans="1:2" ht="11.25" customHeight="1">
      <c r="B36" s="66" t="s">
        <v>3779</v>
      </c>
    </row>
  </sheetData>
  <sheetProtection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89</vt:i4>
      </vt:variant>
      <vt:variant>
        <vt:lpstr>Именованные диапазоны</vt:lpstr>
      </vt:variant>
      <vt:variant>
        <vt:i4>2210</vt:i4>
      </vt:variant>
    </vt:vector>
  </HeadingPairs>
  <TitlesOfParts>
    <vt:vector size="2299" baseType="lpstr">
      <vt:lpstr>Инструкция</vt:lpstr>
      <vt:lpstr>Титульный</vt:lpstr>
      <vt:lpstr>Список территорий</vt:lpstr>
      <vt:lpstr>Дифференциация</vt:lpstr>
      <vt:lpstr>Перечень тарифов</vt:lpstr>
      <vt:lpstr>Дифференциация тариф показатель</vt:lpstr>
      <vt:lpstr>Общая информация об организации</vt:lpstr>
      <vt:lpstr>Общая информация по ВД</vt:lpstr>
      <vt:lpstr>Виды объектов</vt:lpstr>
      <vt:lpstr>Сведения по территориям</vt:lpstr>
      <vt:lpstr>ТС. Т-ТЭ | &gt;=25МВт</vt:lpstr>
      <vt:lpstr>ТС. Т-ТЭ | ТСО</vt:lpstr>
      <vt:lpstr>ТС. Т-ТЭ | предел</vt:lpstr>
      <vt:lpstr>ТС. Т-ТЭ | индикат</vt:lpstr>
      <vt:lpstr>ТС. Резерв мощности</vt:lpstr>
      <vt:lpstr>ТС. Т-ТН</vt:lpstr>
      <vt:lpstr>ТС. Т-передача ТЭ</vt:lpstr>
      <vt:lpstr>ТС. Т-передача ТН</vt:lpstr>
      <vt:lpstr>ТС. Т-гор.вода</vt:lpstr>
      <vt:lpstr>ТС. Т-подкл</vt:lpstr>
      <vt:lpstr>ХВС. Т-пит</vt:lpstr>
      <vt:lpstr>ХВС. Т-тех</vt:lpstr>
      <vt:lpstr>ХВС. Т-транс</vt:lpstr>
      <vt:lpstr>ХВС. Т-подвоз</vt:lpstr>
      <vt:lpstr>ТС. Т-подкл(инд)</vt:lpstr>
      <vt:lpstr>ХВС. Т-подкл</vt:lpstr>
      <vt:lpstr>ВО. Т-во</vt:lpstr>
      <vt:lpstr>ВО. Т-транс</vt:lpstr>
      <vt:lpstr>ВО. Т-подкл</vt:lpstr>
      <vt:lpstr>ГВС. Т-гор.вода</vt:lpstr>
      <vt:lpstr>ГВС. Т-транс</vt:lpstr>
      <vt:lpstr>ГВС. Т-подкл</vt:lpstr>
      <vt:lpstr>Показатели ФХД</vt:lpstr>
      <vt:lpstr>Показатели ФХД &gt;20%</vt:lpstr>
      <vt:lpstr>Показатели ОТЭП</vt:lpstr>
      <vt:lpstr>Стандарты качества</vt:lpstr>
      <vt:lpstr>ТКО. Показатели ФХД</vt:lpstr>
      <vt:lpstr>ТКО. Транс. Показатели ФХД</vt:lpstr>
      <vt:lpstr>Показатели КНЭ</vt:lpstr>
      <vt:lpstr>Ограничения</vt:lpstr>
      <vt:lpstr>ИП</vt:lpstr>
      <vt:lpstr>ИП. Детализация</vt:lpstr>
      <vt:lpstr>ИП. Финансовый план</vt:lpstr>
      <vt:lpstr>ИП. КНЭ</vt:lpstr>
      <vt:lpstr>ТП</vt:lpstr>
      <vt:lpstr>Договоры</vt:lpstr>
      <vt:lpstr>Порядок ТП</vt:lpstr>
      <vt:lpstr>Предложение</vt:lpstr>
      <vt:lpstr>Сведения о закупках</vt:lpstr>
      <vt:lpstr>Потребительские характеристики</vt:lpstr>
      <vt:lpstr>TEHSHEET</vt:lpstr>
      <vt:lpstr>Орган регулирования</vt:lpstr>
      <vt:lpstr>Перечень организаций</vt:lpstr>
      <vt:lpstr>Дела об установлении тарифов</vt:lpstr>
      <vt:lpstr>Дела об утверждении ПУЦ</vt:lpstr>
      <vt:lpstr>Привлечение к ответственности</vt:lpstr>
      <vt:lpstr>ЭД</vt:lpstr>
      <vt:lpstr>Сведения об изменении</vt:lpstr>
      <vt:lpstr>Комментарии</vt:lpstr>
      <vt:lpstr>Проверка</vt:lpstr>
      <vt:lpstr>et_union_hor</vt:lpstr>
      <vt:lpstr>DATA_FORMS</vt:lpstr>
      <vt:lpstr>DATA_NPA</vt:lpstr>
      <vt:lpstr>Т-ТЭ | потр</vt:lpstr>
      <vt:lpstr>modMainProcedures</vt:lpstr>
      <vt:lpstr>modB_FHD</vt:lpstr>
      <vt:lpstr>modB_FHD20</vt:lpstr>
      <vt:lpstr>modB_KNE</vt:lpstr>
      <vt:lpstr>modIP_MAIN</vt:lpstr>
      <vt:lpstr>modIP_QRE</vt:lpstr>
      <vt:lpstr>modIP_DETAILED</vt:lpstr>
      <vt:lpstr>et_union_vert</vt:lpstr>
      <vt:lpstr>Легенда</vt:lpstr>
      <vt:lpstr>modfrmListIP</vt:lpstr>
      <vt:lpstr>modfrmActivity</vt:lpstr>
      <vt:lpstr>REESTR_ORG</vt:lpstr>
      <vt:lpstr>REESTR_MO</vt:lpstr>
      <vt:lpstr>REESTR_IP</vt:lpstr>
      <vt:lpstr>REESTR_OBJ_INFR</vt:lpstr>
      <vt:lpstr>REESTR_DS</vt:lpstr>
      <vt:lpstr>REESTR_VT</vt:lpstr>
      <vt:lpstr>REESTR_VED</vt:lpstr>
      <vt:lpstr>REESTR_MO_FILTER</vt:lpstr>
      <vt:lpstr>REESTR_LINK</vt:lpstr>
      <vt:lpstr>modSheetMain</vt:lpstr>
      <vt:lpstr>modfrmReportMode</vt:lpstr>
      <vt:lpstr>modfrmReestrObj</vt:lpstr>
      <vt:lpstr>AllSheetsInThisWorkbook</vt:lpstr>
      <vt:lpstr>modInfo</vt:lpstr>
      <vt:lpstr>Проверка!_ФильтрБазыДанных</vt:lpstr>
      <vt:lpstr>B_FHD_CHECK_INDEX_1</vt:lpstr>
      <vt:lpstr>B_FHD_CHECK_INDEX_2</vt:lpstr>
      <vt:lpstr>B_FHD_COSTS_INDEX_1</vt:lpstr>
      <vt:lpstr>B_FHD_COSTS_INDEX_2</vt:lpstr>
      <vt:lpstr>B_FHD_DATA_TOP80_ACTIVITY</vt:lpstr>
      <vt:lpstr>B_FHD_diff_1</vt:lpstr>
      <vt:lpstr>B_FHD_diff_5</vt:lpstr>
      <vt:lpstr>B_FHD_FLAG_DIFFERENTIATION</vt:lpstr>
      <vt:lpstr>B_FHD_FLAG_INDEX_1</vt:lpstr>
      <vt:lpstr>B_FHD_FLAG_INDEX_2</vt:lpstr>
      <vt:lpstr>B_FHD_TKO_DATA_TOP80_ACTIVITY</vt:lpstr>
      <vt:lpstr>B_FHD_TKO_diff_1</vt:lpstr>
      <vt:lpstr>B_FHD_TKO_diff_5</vt:lpstr>
      <vt:lpstr>B_FHD_TKO_FLAG_DIFFERENTIATION</vt:lpstr>
      <vt:lpstr>B_FHD_TKO_TRANS_DATA_TOP80_ACTIVITY</vt:lpstr>
      <vt:lpstr>B_FHD_TKO_TRANS_diff_1</vt:lpstr>
      <vt:lpstr>B_FHD_TKO_TRANS_diff_5</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B_FHD20_diff_5</vt:lpstr>
      <vt:lpstr>B_FHD20_FLAG_FHD</vt:lpstr>
      <vt:lpstr>B_FHD20_NUMBER_COLUMN_MARKER</vt:lpstr>
      <vt:lpstr>B_FHD20_PART_COLUMN_MARKER</vt:lpstr>
      <vt:lpstr>B_KNE_diff_1</vt:lpstr>
      <vt:lpstr>B_KNE_diff_5</vt:lpstr>
      <vt:lpstr>B_OTEP_diff_1</vt:lpstr>
      <vt:lpstr>B_OTEP_diff_5</vt:lpstr>
      <vt:lpstr>B_OTEP_FLAG_DIFFERENTIATION</vt:lpstr>
      <vt:lpstr>B_OTEP_HEAT_DATA_TOP80_ACTIVITY</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BLOCK_POK_FHD_HEAT_ONLY_REG_ORG_P1</vt:lpstr>
      <vt:lpstr>BLOCK_POK_FHD_HEAT_ONLY_REG_ORG_P2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CURRENT_YEAR</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et_B_STANDARTS</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et_hor_B_OTEP_2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et_ver_B_OTEP_DIFFERENTIATION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pDel_B_STANDARTS</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pHeader_B_OTEP</vt:lpstr>
      <vt:lpstr>pHeader_Q_LIMIT</vt:lpstr>
      <vt:lpstr>pHeader_Q_PH</vt:lpstr>
      <vt:lpstr>pHeader_Q_TP</vt:lpstr>
      <vt:lpstr>pHeader_ver_B_FHD</vt:lpstr>
      <vt:lpstr>pHeader_ver_B_FHD_TKO</vt:lpstr>
      <vt:lpstr>pHeader_ver_B_FHD_TKO_TRANS</vt:lpstr>
      <vt:lpstr>pHeader_ver_B_KNE</vt:lpstr>
      <vt:lpstr>pHeader_ver_B_OTEP</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pIns_B_OTEP_2</vt:lpstr>
      <vt:lpstr>pIns_B_OTEP_DIFFERENTIATION</vt:lpstr>
      <vt:lpstr>pIns_B_STANDARTS</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Q_Limit_diff_5</vt:lpstr>
      <vt:lpstr>Q_LIMIT_p3</vt:lpstr>
      <vt:lpstr>Q_LIMIT_p4</vt:lpstr>
      <vt:lpstr>Q_PH_diff_1</vt:lpstr>
      <vt:lpstr>Q_PH_diff_5</vt:lpstr>
      <vt:lpstr>Q_TP_COUNT_REFUSAL</vt:lpstr>
      <vt:lpstr>Q_TP_diff_1</vt:lpstr>
      <vt:lpstr>Q_TP_diff_5</vt:lpstr>
      <vt:lpstr>QRE_METHOD_LIST</vt:lpstr>
      <vt:lpstr>QUARTER</vt:lpstr>
      <vt:lpstr>R_OFFER_ADD_PERIOD_HL_COLUMN_MARKER</vt:lpstr>
      <vt:lpstr>R_OFFER_CHANGE_HL_COLUMN_MARKER</vt:lpstr>
      <vt:lpstr>R_OFFER_DEL_HL_COLUMN_MARKER</vt:lpstr>
      <vt:lpstr>R_OFFER_FLAG_HL_COLUMN_MARKER</vt:lpstr>
      <vt:lpstr>REESTR_IP_RANGE</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RST_ORG_ID</vt:lpstr>
      <vt:lpstr>SKI_number</vt:lpstr>
      <vt:lpstr>StartDateList</vt:lpstr>
      <vt:lpstr>tblEnd_1_B_FHD</vt:lpstr>
      <vt:lpstr>tblEnd_1_B_FHD_TKO</vt:lpstr>
      <vt:lpstr>tblEnd_1_B_FHD_TKO_TRANS</vt:lpstr>
      <vt:lpstr>tblEnd_1_B_KNE</vt:lpstr>
      <vt:lpstr>tblEnd_1_B_OTEP</vt:lpstr>
      <vt:lpstr>tblEnd_1_B_STANDARTS</vt:lpstr>
      <vt:lpstr>tblEnd_1_CHANGE_INFO</vt:lpstr>
      <vt:lpstr>tblEnd_1_DIFFERENTIATION</vt:lpstr>
      <vt:lpstr>tblEnd_1_DIFFERENTIATION_TARIFF</vt:lpstr>
      <vt:lpstr>tblEnd_1_DIFFERENTIATION_TKO</vt:lpstr>
      <vt:lpstr>tblEnd_1_ED</vt:lpstr>
      <vt:lpstr>tblEnd_1_IP_DETAILED</vt:lpstr>
      <vt:lpstr>tblEnd_1_IP_FIN_PLAN</vt:lpstr>
      <vt:lpstr>tblEnd_1_IP_MAIN</vt:lpstr>
      <vt:lpstr>tblEnd_1_IP_QRE</vt:lpstr>
      <vt:lpstr>tblEnd_1_OFFER</vt:lpstr>
      <vt:lpstr>tblEnd_1_ORG_INFO</vt:lpstr>
      <vt:lpstr>tblEnd_1_ORG_TERRITORY</vt:lpstr>
      <vt:lpstr>tblEnd_1_ORG_VD</vt:lpstr>
      <vt:lpstr>tblEnd_1_ORG_VD_TKO</vt:lpstr>
      <vt:lpstr>tblEnd_1_P_PROCEDURE_TC</vt:lpstr>
      <vt:lpstr>tblEnd_1_P_T_TERMS</vt:lpstr>
      <vt:lpstr>tblEnd_1_Q_LIMIT</vt:lpstr>
      <vt:lpstr>tblEnd_1_Q_PH</vt:lpstr>
      <vt:lpstr>tblEnd_1_Q_TP</vt:lpstr>
      <vt:lpstr>tblEnd_1_R_B_Purch</vt:lpstr>
      <vt:lpstr>tblEnd_1_R_Offer</vt:lpstr>
      <vt:lpstr>tblEnd_1_ROIV_CASE</vt:lpstr>
      <vt:lpstr>tblEnd_1_ROIV_CASE_PUC</vt:lpstr>
      <vt:lpstr>tblEnd_1_ROIV_INFO</vt:lpstr>
      <vt:lpstr>tblEnd_1_ROIV_ORG</vt:lpstr>
      <vt:lpstr>tblEnd_1_ROIV_OTV</vt:lpstr>
      <vt:lpstr>tblEnd_1_TARIFF_A</vt:lpstr>
      <vt:lpstr>tblEnd_1_TARIFF_A_COLDVSNA</vt:lpstr>
      <vt:lpstr>tblEnd_1_TARIFF_A_HOTVSNA</vt:lpstr>
      <vt:lpstr>tblEnd_1_TARIFF_A_VOTV</vt:lpstr>
      <vt:lpstr>tblEnd_1_TARIFF_B</vt:lpstr>
      <vt:lpstr>tblEnd_1_TARIFF_B_COLDVSNA</vt:lpstr>
      <vt:lpstr>tblEnd_1_TARIFF_B_HOTVSNA</vt:lpstr>
      <vt:lpstr>tblEnd_1_TARIFF_B_VOTV</vt:lpstr>
      <vt:lpstr>tblEnd_1_TARIFF_C</vt:lpstr>
      <vt:lpstr>tblEnd_1_TARIFF_C_COLDVSNA</vt:lpstr>
      <vt:lpstr>tblEnd_1_TARIFF_C_HOTVSNA</vt:lpstr>
      <vt:lpstr>tblEnd_1_TARIFF_C_VOTV</vt:lpstr>
      <vt:lpstr>tblEnd_1_TARIFF_D</vt:lpstr>
      <vt:lpstr>tblEnd_1_TARIFF_D_COLDVSNA</vt:lpstr>
      <vt:lpstr>tblEnd_1_TARIFF_E_COLDVSNA</vt:lpstr>
      <vt:lpstr>tblEnd_1_TARIFF_E1</vt:lpstr>
      <vt:lpstr>tblEnd_1_TARIFF_E2</vt:lpstr>
      <vt:lpstr>tblEnd_1_TARIFF_F</vt:lpstr>
      <vt:lpstr>tblEnd_1_TARIFF_G</vt:lpstr>
      <vt:lpstr>tblEnd_1_TARIFF_H</vt:lpstr>
      <vt:lpstr>tblEnd_1_TARIFF_I</vt:lpstr>
      <vt:lpstr>tblEnd_1_TARIFF_I_1</vt:lpstr>
      <vt:lpstr>tblEnd_1_TERRITORY</vt:lpstr>
      <vt:lpstr>tblStart_1_B_FHD</vt:lpstr>
      <vt:lpstr>tblStart_1_B_FHD_TKO</vt:lpstr>
      <vt:lpstr>tblStart_1_B_FHD_TKO_TRANS</vt:lpstr>
      <vt:lpstr>tblStart_1_B_KNE</vt:lpstr>
      <vt:lpstr>tblStart_1_B_OTEP</vt:lpstr>
      <vt:lpstr>tblStart_1_B_STANDARTS</vt:lpstr>
      <vt:lpstr>tblStart_1_CHANGE_INFO</vt:lpstr>
      <vt:lpstr>tblStart_1_DIFFERENTIATION</vt:lpstr>
      <vt:lpstr>tblStart_1_DIFFERENTIATION_TARIFF</vt:lpstr>
      <vt:lpstr>tblStart_1_DIFFERENTIATION_TKO</vt:lpstr>
      <vt:lpstr>tblStart_1_ED</vt:lpstr>
      <vt:lpstr>tblStart_1_IP_DETAILED</vt:lpstr>
      <vt:lpstr>tblStart_1_IP_FIN_PLAN</vt:lpstr>
      <vt:lpstr>tblStart_1_IP_MAIN</vt:lpstr>
      <vt:lpstr>tblStart_1_IP_QRE</vt:lpstr>
      <vt:lpstr>tblStart_1_OFFER</vt:lpstr>
      <vt:lpstr>tblStart_1_ORG_INFO</vt:lpstr>
      <vt:lpstr>tblStart_1_ORG_TERRITORY</vt:lpstr>
      <vt:lpstr>tblStart_1_ORG_VD</vt:lpstr>
      <vt:lpstr>tblStart_1_ORG_VD_TKO</vt:lpstr>
      <vt:lpstr>tblStart_1_P_PROCEDURE_TC</vt:lpstr>
      <vt:lpstr>tblStart_1_P_T_TERMS</vt:lpstr>
      <vt:lpstr>tblStart_1_Q_LIMIT</vt:lpstr>
      <vt:lpstr>tblStart_1_Q_PH</vt:lpstr>
      <vt:lpstr>tblStart_1_Q_TP</vt:lpstr>
      <vt:lpstr>tblStart_1_R_B_Purch</vt:lpstr>
      <vt:lpstr>tblStart_1_R_Offer</vt:lpstr>
      <vt:lpstr>tblStart_1_ROIV_CASE</vt:lpstr>
      <vt:lpstr>tblStart_1_ROIV_CASE_PUC</vt:lpstr>
      <vt:lpstr>tblStart_1_ROIV_INFO</vt:lpstr>
      <vt:lpstr>tblStart_1_ROIV_ORG</vt:lpstr>
      <vt:lpstr>tblStart_1_ROIV_OTV</vt:lpstr>
      <vt:lpstr>tblStart_1_TARIFF_A</vt:lpstr>
      <vt:lpstr>tblStart_1_TARIFF_A_COLDVSNA</vt:lpstr>
      <vt:lpstr>tblStart_1_TARIFF_A_HOTVSNA</vt:lpstr>
      <vt:lpstr>tblStart_1_TARIFF_A_VOTV</vt:lpstr>
      <vt:lpstr>tblStart_1_TARIFF_B</vt:lpstr>
      <vt:lpstr>tblStart_1_TARIFF_B_COLDVSNA</vt:lpstr>
      <vt:lpstr>tblStart_1_TARIFF_B_HOTVSNA</vt:lpstr>
      <vt:lpstr>tblStart_1_TARIFF_B_VOTV</vt:lpstr>
      <vt:lpstr>tblStart_1_TARIFF_C</vt:lpstr>
      <vt:lpstr>tblStart_1_TARIFF_C_COLDVSNA</vt:lpstr>
      <vt:lpstr>tblStart_1_TARIFF_C_HOTVSNA</vt:lpstr>
      <vt:lpstr>tblStart_1_TARIFF_C_VOTV</vt:lpstr>
      <vt:lpstr>tblStart_1_TARIFF_D</vt:lpstr>
      <vt:lpstr>tblStart_1_TARIFF_D_COLDVSNA</vt:lpstr>
      <vt:lpstr>tblStart_1_TARIFF_E_COLDVSNA</vt:lpstr>
      <vt:lpstr>tblStart_1_TARIFF_E1</vt:lpstr>
      <vt:lpstr>tblStart_1_TARIFF_E2</vt:lpstr>
      <vt:lpstr>tblStart_1_TARIFF_F</vt:lpstr>
      <vt:lpstr>tblStart_1_TARIFF_G</vt:lpstr>
      <vt:lpstr>tblStart_1_TARIFF_H</vt:lpstr>
      <vt:lpstr>tblStart_1_TARIFF_I</vt:lpstr>
      <vt:lpstr>tblStart_1_TARIFF_I_1</vt:lpstr>
      <vt:lpstr>tblStart_1_TERRITORY</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TITLE_FLAG_OTV_ROIV</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Анна</cp:lastModifiedBy>
  <cp:lastPrinted>2013-08-29T08:11:20Z</cp:lastPrinted>
  <dcterms:created xsi:type="dcterms:W3CDTF">2004-05-21T07:18:45Z</dcterms:created>
  <dcterms:modified xsi:type="dcterms:W3CDTF">2024-07-19T03:09:24Z</dcterms:modified>
</cp:coreProperties>
</file>